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7110" tabRatio="1000"/>
  </bookViews>
  <sheets>
    <sheet name="от 126" sheetId="117" r:id="rId1"/>
    <sheet name="ВЛ-0,4 кВ" sheetId="6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17" l="1"/>
  <c r="F20" i="117"/>
  <c r="F13" i="117"/>
  <c r="F12" i="117"/>
  <c r="F17" i="117"/>
  <c r="F8" i="117"/>
  <c r="G12" i="62" l="1"/>
  <c r="F10" i="117" l="1"/>
  <c r="F11" i="117" s="1"/>
  <c r="G27" i="117" l="1"/>
  <c r="G26" i="117"/>
  <c r="G25" i="117"/>
  <c r="G24" i="117"/>
  <c r="G23" i="117"/>
  <c r="G22" i="117"/>
  <c r="G21" i="117"/>
  <c r="G19" i="117"/>
  <c r="G14" i="117"/>
  <c r="G17" i="117" s="1"/>
  <c r="G8" i="117"/>
  <c r="G11" i="117" s="1"/>
  <c r="G13" i="117" s="1"/>
  <c r="G16" i="62"/>
  <c r="G13" i="62"/>
  <c r="G19" i="62"/>
  <c r="G27" i="62" s="1"/>
  <c r="G10" i="62"/>
  <c r="G7" i="62"/>
  <c r="F30" i="117" l="1"/>
  <c r="F29" i="117" s="1"/>
  <c r="G20" i="117"/>
  <c r="G28" i="117" s="1"/>
  <c r="G9" i="62"/>
  <c r="G29" i="117" l="1"/>
  <c r="G30" i="117" s="1"/>
  <c r="H21" i="62" l="1"/>
  <c r="H22" i="62"/>
  <c r="H23" i="62"/>
  <c r="H24" i="62"/>
  <c r="H25" i="62"/>
  <c r="H26" i="62"/>
  <c r="H20" i="62"/>
  <c r="H18" i="62"/>
  <c r="H13" i="62"/>
  <c r="H16" i="62" s="1"/>
  <c r="H7" i="62"/>
  <c r="H10" i="62" s="1"/>
  <c r="H12" i="62" s="1"/>
  <c r="G29" i="62" l="1"/>
  <c r="G28" i="62" s="1"/>
  <c r="H19" i="62"/>
  <c r="H27" i="62" s="1"/>
  <c r="H28" i="62" l="1"/>
  <c r="H29" i="62" s="1"/>
</calcChain>
</file>

<file path=xl/sharedStrings.xml><?xml version="1.0" encoding="utf-8"?>
<sst xmlns="http://schemas.openxmlformats.org/spreadsheetml/2006/main" count="67" uniqueCount="31">
  <si>
    <t>Наименование документа</t>
  </si>
  <si>
    <t>Минэконом развития Прогноз соц-эконом развития РФ на период до 2030 г, Индекс дефлятор</t>
  </si>
  <si>
    <t>Итого, без НДС, тыс. руб</t>
  </si>
  <si>
    <t>НДС, 20%, тыс. руб</t>
  </si>
  <si>
    <t>С НДС, тыс. руб</t>
  </si>
  <si>
    <t>Составил ___________________ инженер ПТО Е.А. Коренова</t>
  </si>
  <si>
    <t>1 цепная</t>
  </si>
  <si>
    <t>2 цепная</t>
  </si>
  <si>
    <t>Сечение</t>
  </si>
  <si>
    <t xml:space="preserve"> тыс. руб</t>
  </si>
  <si>
    <t>Протяженность трассы, км</t>
  </si>
  <si>
    <t>Количество опор (пролет 35м), шт.</t>
  </si>
  <si>
    <t>СИП-4 4х</t>
  </si>
  <si>
    <t xml:space="preserve">Строительство ВЛ-0,4 кВ </t>
  </si>
  <si>
    <t>Коэффиц-т перевода от базового УНЦ к уровню УНЦ субъекта РФ (Приказ Министерства Энергерики РФ от 26 февраля 2024 г. N 131, стр. 148, таб. Ц2)</t>
  </si>
  <si>
    <t>Для ВЛ 0,4 - 20 кВ с утвержденным значением протяженности до 300 метров вместе с УНЦ применяется коэффициент (Кф1)</t>
  </si>
  <si>
    <t>Для ВЛ 0,4 - 20 кВ с утвержденным значением протяженности до 100 метров вместе с УНЦ применяется коэффициент (Кф1)</t>
  </si>
  <si>
    <t>Для ВЛ 0,4 - 20 кВ с утвержденным значением протяженности до 50 метров вместе с УНЦ применяется коэффициент (Кф1)</t>
  </si>
  <si>
    <t>!!!!!</t>
  </si>
  <si>
    <t>Таб. Л7 стр 116 (тыс. руб за км)</t>
  </si>
  <si>
    <t>Вырубка деревьев корчовка пней (Приказ Министерства Энергерики РФ от 26 февраля 2024 г. N 131), таб. Б7, стр. 120, 1 га</t>
  </si>
  <si>
    <t>Перевозка хлыстов (Приказ Министерства Энергерики РФ от 26 февраля 2024 г. N 131, таб. М4, стр. 121), 100м (5 км)</t>
  </si>
  <si>
    <t>Монтажные работы ВЛ-0,4кВ (Приказ Министерства Энергерики РФ от 26 февраля 2024 г. N 131, таб. Л1, стр. 111), тыс. руб на 1 км ( СМР без опор и провода)</t>
  </si>
  <si>
    <t>к Таблице Л1, Л3</t>
  </si>
  <si>
    <t>Стоимость опор для ВЛ-0,4 кВ с учетом СМР и  также сопутствующие затраты (Приказ Министерства Энергерики РФ от 26 февраля 2024 г. N 131, таб. Л3, стр. 113), тыс. руб на 1 км</t>
  </si>
  <si>
    <t>Стоимость провода СИП ВЛ-0,4 кВ с учетом СМР и  также сопутствующие затраты (Приказ Министерства Энергерики РФ от 26 февраля 2024 г. N 131, таб. Л7, стр. 116), тыс. руб за 1 км</t>
  </si>
  <si>
    <t>Арматура и устройства крепления провода СИП 1ед. с учетом СМР и  также сопутствующие затраты (Приказ Министерства Энергерики РФ от 26 февраля 2024 г. N 131, таб. Л11, стр. 119),  тыс. руб</t>
  </si>
  <si>
    <t>Устройство защиты от перенапряжения ВЛ-10 кВ с учетом СМР и  также сопутствующие затраты (Приказ Министерства Энергерики РФ от 26 февраля 2024 г. N 131, таб. Л11,                    стр. 119), тыс. руб</t>
  </si>
  <si>
    <t>Коэфф-т перехода</t>
  </si>
  <si>
    <t>Реконструкция ВЛ-0,4 кВ от ТП-126 в Горно-Алтайске</t>
  </si>
  <si>
    <t xml:space="preserve">                                                                        Строительство ВЛ-0,4 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</si>
</sst>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7" fillId="0" borderId="0"/>
    <xf numFmtId="0" fontId="8" fillId="0" borderId="0"/>
    <xf numFmtId="0" fontId="9" fillId="0" borderId="0"/>
  </cellStyleXfs>
  <cellXfs count="62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/>
    </xf>
    <xf numFmtId="1" fontId="0" fillId="0" borderId="1" xfId="0" applyNumberFormat="1" applyBorder="1"/>
    <xf numFmtId="1" fontId="0" fillId="2" borderId="1" xfId="0" applyNumberFormat="1" applyFill="1" applyBorder="1"/>
    <xf numFmtId="164" fontId="0" fillId="0" borderId="1" xfId="0" applyNumberFormat="1" applyBorder="1"/>
    <xf numFmtId="0" fontId="0" fillId="0" borderId="1" xfId="0" applyFill="1" applyBorder="1"/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/>
    <xf numFmtId="2" fontId="0" fillId="0" borderId="1" xfId="0" applyNumberFormat="1" applyBorder="1"/>
    <xf numFmtId="0" fontId="0" fillId="0" borderId="4" xfId="0" applyBorder="1"/>
    <xf numFmtId="0" fontId="0" fillId="4" borderId="1" xfId="0" applyFill="1" applyBorder="1"/>
    <xf numFmtId="164" fontId="0" fillId="5" borderId="1" xfId="0" applyNumberFormat="1" applyFill="1" applyBorder="1"/>
    <xf numFmtId="0" fontId="0" fillId="5" borderId="1" xfId="0" applyFill="1" applyBorder="1"/>
    <xf numFmtId="0" fontId="0" fillId="0" borderId="0" xfId="0" applyBorder="1" applyAlignment="1">
      <alignment horizontal="right"/>
    </xf>
    <xf numFmtId="1" fontId="0" fillId="0" borderId="0" xfId="0" applyNumberFormat="1" applyBorder="1"/>
    <xf numFmtId="164" fontId="0" fillId="6" borderId="1" xfId="0" applyNumberFormat="1" applyFill="1" applyBorder="1"/>
    <xf numFmtId="0" fontId="2" fillId="0" borderId="0" xfId="0" applyFont="1"/>
    <xf numFmtId="0" fontId="0" fillId="5" borderId="0" xfId="0" applyFill="1"/>
    <xf numFmtId="2" fontId="0" fillId="2" borderId="1" xfId="0" applyNumberFormat="1" applyFill="1" applyBorder="1"/>
    <xf numFmtId="2" fontId="0" fillId="3" borderId="1" xfId="0" applyNumberFormat="1" applyFill="1" applyBorder="1"/>
    <xf numFmtId="0" fontId="0" fillId="9" borderId="1" xfId="0" applyFill="1" applyBorder="1"/>
    <xf numFmtId="0" fontId="0" fillId="9" borderId="4" xfId="0" applyFill="1" applyBorder="1"/>
    <xf numFmtId="0" fontId="0" fillId="9" borderId="0" xfId="0" applyFill="1"/>
    <xf numFmtId="1" fontId="0" fillId="6" borderId="1" xfId="0" applyNumberFormat="1" applyFill="1" applyBorder="1"/>
    <xf numFmtId="0" fontId="0" fillId="6" borderId="1" xfId="0" applyFill="1" applyBorder="1"/>
    <xf numFmtId="2" fontId="0" fillId="6" borderId="1" xfId="0" applyNumberFormat="1" applyFill="1" applyBorder="1"/>
    <xf numFmtId="0" fontId="4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2" fillId="7" borderId="1" xfId="0" applyFont="1" applyFill="1" applyBorder="1" applyAlignment="1">
      <alignment horizontal="left" wrapText="1"/>
    </xf>
    <xf numFmtId="0" fontId="1" fillId="8" borderId="1" xfId="0" applyFont="1" applyFill="1" applyBorder="1" applyAlignment="1">
      <alignment horizontal="center" wrapText="1"/>
    </xf>
    <xf numFmtId="0" fontId="0" fillId="8" borderId="1" xfId="0" applyFill="1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</cellXfs>
  <cellStyles count="5">
    <cellStyle name="Обычный" xfId="0" builtinId="0"/>
    <cellStyle name="Обычный 10" xfId="1"/>
    <cellStyle name="Обычный 2 2" xfId="2"/>
    <cellStyle name="Обычный 3" xfId="3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1:T32"/>
  <sheetViews>
    <sheetView tabSelected="1" workbookViewId="0">
      <selection activeCell="B6" sqref="B6:D6"/>
    </sheetView>
  </sheetViews>
  <sheetFormatPr defaultColWidth="9" defaultRowHeight="15" x14ac:dyDescent="0.25"/>
  <cols>
    <col min="1" max="1" width="4.85546875" customWidth="1"/>
    <col min="2" max="2" width="23.5703125" customWidth="1"/>
    <col min="3" max="3" width="9.140625" customWidth="1"/>
    <col min="4" max="4" width="17.140625" customWidth="1"/>
    <col min="5" max="5" width="9.140625" customWidth="1"/>
    <col min="6" max="6" width="12.5703125" customWidth="1"/>
    <col min="7" max="7" width="12" customWidth="1"/>
    <col min="8" max="8" width="12.85546875" customWidth="1"/>
    <col min="14" max="14" width="18" customWidth="1"/>
  </cols>
  <sheetData>
    <row r="1" spans="2:20" x14ac:dyDescent="0.25">
      <c r="B1" s="61" t="s">
        <v>30</v>
      </c>
      <c r="C1" s="61"/>
      <c r="D1" s="61"/>
      <c r="E1" s="61"/>
      <c r="F1" s="61"/>
      <c r="G1" s="61"/>
      <c r="H1" s="61"/>
    </row>
    <row r="2" spans="2:20" ht="17.25" customHeight="1" x14ac:dyDescent="0.25">
      <c r="B2" s="60" t="s">
        <v>29</v>
      </c>
      <c r="C2" s="60"/>
      <c r="D2" s="60"/>
      <c r="E2" s="60"/>
      <c r="F2" s="60"/>
      <c r="G2" s="60"/>
      <c r="H2" s="29"/>
    </row>
    <row r="3" spans="2:20" x14ac:dyDescent="0.25">
      <c r="B3" s="3"/>
      <c r="C3" s="3"/>
      <c r="D3" s="3"/>
      <c r="E3" s="3"/>
      <c r="F3" s="3"/>
      <c r="G3" s="3"/>
      <c r="H3" s="3"/>
    </row>
    <row r="4" spans="2:20" ht="15.75" x14ac:dyDescent="0.25">
      <c r="B4" s="50" t="s">
        <v>0</v>
      </c>
      <c r="C4" s="51"/>
      <c r="D4" s="52"/>
      <c r="E4" s="2"/>
      <c r="F4" s="56"/>
      <c r="G4" s="57"/>
    </row>
    <row r="5" spans="2:20" ht="15.75" x14ac:dyDescent="0.25">
      <c r="B5" s="53"/>
      <c r="C5" s="54"/>
      <c r="D5" s="55"/>
      <c r="E5" s="4"/>
      <c r="F5" s="9" t="s">
        <v>6</v>
      </c>
      <c r="G5" s="10" t="s">
        <v>7</v>
      </c>
      <c r="K5" s="19" t="s">
        <v>19</v>
      </c>
    </row>
    <row r="6" spans="2:20" ht="45" customHeight="1" x14ac:dyDescent="0.25">
      <c r="B6" s="40" t="s">
        <v>22</v>
      </c>
      <c r="C6" s="41"/>
      <c r="D6" s="41"/>
      <c r="E6" s="2"/>
      <c r="F6" s="2">
        <v>963.68</v>
      </c>
      <c r="G6" s="2">
        <v>1526.73</v>
      </c>
      <c r="K6" s="13" t="s">
        <v>8</v>
      </c>
      <c r="L6" s="13" t="s">
        <v>12</v>
      </c>
    </row>
    <row r="7" spans="2:20" ht="45" customHeight="1" x14ac:dyDescent="0.25">
      <c r="B7" s="58" t="s">
        <v>14</v>
      </c>
      <c r="C7" s="59"/>
      <c r="D7" s="59"/>
      <c r="E7" s="2"/>
      <c r="F7" s="11">
        <v>2.17</v>
      </c>
      <c r="G7" s="11">
        <v>1.9</v>
      </c>
      <c r="K7" s="2">
        <v>16</v>
      </c>
      <c r="L7" s="2">
        <v>405.81</v>
      </c>
      <c r="O7" s="19"/>
    </row>
    <row r="8" spans="2:20" x14ac:dyDescent="0.25">
      <c r="B8" s="42" t="s">
        <v>9</v>
      </c>
      <c r="C8" s="43"/>
      <c r="D8" s="43"/>
      <c r="E8" s="44"/>
      <c r="F8" s="26">
        <f>F6*F7</f>
        <v>2091.1855999999998</v>
      </c>
      <c r="G8" s="26">
        <f>G6*G7</f>
        <v>2900.7869999999998</v>
      </c>
      <c r="K8" s="2">
        <v>25</v>
      </c>
      <c r="L8" s="2">
        <v>446.04</v>
      </c>
      <c r="O8" s="20" t="s">
        <v>18</v>
      </c>
      <c r="P8" t="s">
        <v>23</v>
      </c>
    </row>
    <row r="9" spans="2:20" ht="60.75" customHeight="1" x14ac:dyDescent="0.25">
      <c r="B9" s="40" t="s">
        <v>24</v>
      </c>
      <c r="C9" s="41"/>
      <c r="D9" s="41"/>
      <c r="E9" s="23">
        <v>1.0900000000000001</v>
      </c>
      <c r="F9" s="11">
        <v>949.02</v>
      </c>
      <c r="G9" s="2">
        <v>1214.6400000000001</v>
      </c>
      <c r="K9" s="2">
        <v>35</v>
      </c>
      <c r="L9" s="2">
        <v>485.12</v>
      </c>
      <c r="O9" s="39" t="s">
        <v>15</v>
      </c>
      <c r="P9" s="39"/>
      <c r="Q9" s="39"/>
      <c r="R9" s="39"/>
      <c r="S9" s="39"/>
      <c r="T9" s="2">
        <v>1.2</v>
      </c>
    </row>
    <row r="10" spans="2:20" ht="62.25" customHeight="1" x14ac:dyDescent="0.25">
      <c r="B10" s="40" t="s">
        <v>25</v>
      </c>
      <c r="C10" s="41"/>
      <c r="D10" s="41"/>
      <c r="E10" s="24">
        <v>1.07</v>
      </c>
      <c r="F10" s="28">
        <f>L10</f>
        <v>547.16</v>
      </c>
      <c r="G10" s="27"/>
      <c r="K10" s="1">
        <v>50</v>
      </c>
      <c r="L10" s="1">
        <v>547.16</v>
      </c>
      <c r="O10" s="39" t="s">
        <v>16</v>
      </c>
      <c r="P10" s="39"/>
      <c r="Q10" s="39"/>
      <c r="R10" s="39"/>
      <c r="S10" s="39"/>
      <c r="T10" s="2">
        <v>1.5</v>
      </c>
    </row>
    <row r="11" spans="2:20" ht="13.5" customHeight="1" x14ac:dyDescent="0.25">
      <c r="B11" s="42" t="s">
        <v>9</v>
      </c>
      <c r="C11" s="43"/>
      <c r="D11" s="43"/>
      <c r="E11" s="44"/>
      <c r="F11" s="21">
        <f>F9*E9+F10*E10</f>
        <v>1619.893</v>
      </c>
      <c r="G11" s="26">
        <f>G8+G9+G10</f>
        <v>4115.4269999999997</v>
      </c>
      <c r="K11" s="8">
        <v>70</v>
      </c>
      <c r="L11" s="8">
        <v>652.30999999999995</v>
      </c>
      <c r="O11" s="39" t="s">
        <v>17</v>
      </c>
      <c r="P11" s="39"/>
      <c r="Q11" s="39"/>
      <c r="R11" s="39"/>
      <c r="S11" s="39"/>
      <c r="T11" s="2">
        <v>2.99</v>
      </c>
    </row>
    <row r="12" spans="2:20" x14ac:dyDescent="0.25">
      <c r="B12" s="46" t="s">
        <v>10</v>
      </c>
      <c r="C12" s="46"/>
      <c r="D12" s="46"/>
      <c r="E12" s="2"/>
      <c r="F12" s="14">
        <f>(575+65+667)/1000</f>
        <v>1.3069999999999999</v>
      </c>
      <c r="G12" s="27"/>
      <c r="K12" s="8">
        <v>95</v>
      </c>
      <c r="L12" s="8">
        <v>761.97</v>
      </c>
    </row>
    <row r="13" spans="2:20" x14ac:dyDescent="0.25">
      <c r="B13" s="42" t="s">
        <v>9</v>
      </c>
      <c r="C13" s="43"/>
      <c r="D13" s="43"/>
      <c r="E13" s="44"/>
      <c r="F13" s="21">
        <f>(F11+F8)*0.575+(F8+F10)*0.732</f>
        <v>4065.1391741999992</v>
      </c>
      <c r="G13" s="26">
        <f>G11*G12</f>
        <v>0</v>
      </c>
    </row>
    <row r="14" spans="2:20" ht="18.75" customHeight="1" x14ac:dyDescent="0.25">
      <c r="B14" s="47" t="s">
        <v>11</v>
      </c>
      <c r="C14" s="48"/>
      <c r="D14" s="48"/>
      <c r="E14" s="12"/>
      <c r="F14" s="5">
        <v>23</v>
      </c>
      <c r="G14" s="26">
        <f>F14</f>
        <v>23</v>
      </c>
    </row>
    <row r="15" spans="2:20" ht="60" customHeight="1" x14ac:dyDescent="0.25">
      <c r="B15" s="40" t="s">
        <v>26</v>
      </c>
      <c r="C15" s="41"/>
      <c r="D15" s="41"/>
      <c r="E15" s="23">
        <v>1.07</v>
      </c>
      <c r="F15" s="11">
        <v>4.95</v>
      </c>
      <c r="G15" s="27">
        <v>4.95</v>
      </c>
      <c r="N15" s="25" t="s">
        <v>28</v>
      </c>
    </row>
    <row r="16" spans="2:20" ht="59.25" customHeight="1" x14ac:dyDescent="0.25">
      <c r="B16" s="40" t="s">
        <v>27</v>
      </c>
      <c r="C16" s="41"/>
      <c r="D16" s="41"/>
      <c r="E16" s="24">
        <v>1.07</v>
      </c>
      <c r="F16" s="11">
        <v>5.72</v>
      </c>
      <c r="G16" s="27">
        <v>5.72</v>
      </c>
    </row>
    <row r="17" spans="2:7" x14ac:dyDescent="0.25">
      <c r="B17" s="42" t="s">
        <v>9</v>
      </c>
      <c r="C17" s="43"/>
      <c r="D17" s="43"/>
      <c r="E17" s="44"/>
      <c r="F17" s="21">
        <f>(F15+F16)*E15*F14</f>
        <v>262.58870000000002</v>
      </c>
      <c r="G17" s="26">
        <f>(G15+G16)*G14</f>
        <v>245.41</v>
      </c>
    </row>
    <row r="18" spans="2:7" ht="43.5" customHeight="1" x14ac:dyDescent="0.25">
      <c r="B18" s="45" t="s">
        <v>20</v>
      </c>
      <c r="C18" s="46"/>
      <c r="D18" s="46"/>
      <c r="E18" s="12">
        <v>514.42999999999995</v>
      </c>
      <c r="F18" s="11"/>
      <c r="G18" s="27"/>
    </row>
    <row r="19" spans="2:7" ht="44.25" customHeight="1" x14ac:dyDescent="0.25">
      <c r="B19" s="45" t="s">
        <v>21</v>
      </c>
      <c r="C19" s="46"/>
      <c r="D19" s="46"/>
      <c r="E19" s="12">
        <v>11.91</v>
      </c>
      <c r="F19" s="5"/>
      <c r="G19" s="26">
        <f>5000*6.9/100</f>
        <v>345</v>
      </c>
    </row>
    <row r="20" spans="2:7" x14ac:dyDescent="0.25">
      <c r="B20" s="42" t="s">
        <v>9</v>
      </c>
      <c r="C20" s="43"/>
      <c r="D20" s="43"/>
      <c r="E20" s="44"/>
      <c r="F20" s="21">
        <f>F13+F18+F19+F17</f>
        <v>4327.727874199999</v>
      </c>
      <c r="G20" s="26">
        <f>G13+G17+G18+G19</f>
        <v>590.41</v>
      </c>
    </row>
    <row r="21" spans="2:7" ht="15" customHeight="1" x14ac:dyDescent="0.25">
      <c r="B21" s="30" t="s">
        <v>1</v>
      </c>
      <c r="C21" s="31"/>
      <c r="D21" s="31"/>
      <c r="E21" s="1">
        <v>2024</v>
      </c>
      <c r="F21" s="18">
        <v>1.0740000000000001</v>
      </c>
      <c r="G21" s="18">
        <f>F21</f>
        <v>1.0740000000000001</v>
      </c>
    </row>
    <row r="22" spans="2:7" x14ac:dyDescent="0.25">
      <c r="B22" s="32"/>
      <c r="C22" s="33"/>
      <c r="D22" s="33"/>
      <c r="E22" s="1">
        <v>2025</v>
      </c>
      <c r="F22" s="18">
        <v>1.0609999999999999</v>
      </c>
      <c r="G22" s="18">
        <f t="shared" ref="G22:G27" si="0">F22</f>
        <v>1.0609999999999999</v>
      </c>
    </row>
    <row r="23" spans="2:7" x14ac:dyDescent="0.25">
      <c r="B23" s="32"/>
      <c r="C23" s="33"/>
      <c r="D23" s="33"/>
      <c r="E23" s="27">
        <v>2026</v>
      </c>
      <c r="F23" s="18">
        <v>1.0529999999999999</v>
      </c>
      <c r="G23" s="18">
        <f t="shared" si="0"/>
        <v>1.0529999999999999</v>
      </c>
    </row>
    <row r="24" spans="2:7" x14ac:dyDescent="0.25">
      <c r="B24" s="32"/>
      <c r="C24" s="33"/>
      <c r="D24" s="33"/>
      <c r="E24" s="2">
        <v>2027</v>
      </c>
      <c r="F24" s="18">
        <v>1.0449999999999999</v>
      </c>
      <c r="G24" s="18">
        <f t="shared" si="0"/>
        <v>1.0449999999999999</v>
      </c>
    </row>
    <row r="25" spans="2:7" x14ac:dyDescent="0.25">
      <c r="B25" s="32"/>
      <c r="C25" s="33"/>
      <c r="D25" s="33"/>
      <c r="E25" s="2">
        <v>2028</v>
      </c>
      <c r="F25" s="7">
        <v>1.0449999999999999</v>
      </c>
      <c r="G25" s="18">
        <f t="shared" si="0"/>
        <v>1.0449999999999999</v>
      </c>
    </row>
    <row r="26" spans="2:7" x14ac:dyDescent="0.25">
      <c r="B26" s="32"/>
      <c r="C26" s="33"/>
      <c r="D26" s="33"/>
      <c r="E26" s="2">
        <v>2029</v>
      </c>
      <c r="F26" s="7">
        <v>1.0449999999999999</v>
      </c>
      <c r="G26" s="18">
        <f t="shared" si="0"/>
        <v>1.0449999999999999</v>
      </c>
    </row>
    <row r="27" spans="2:7" x14ac:dyDescent="0.25">
      <c r="B27" s="34"/>
      <c r="C27" s="35"/>
      <c r="D27" s="35"/>
      <c r="E27" s="2">
        <v>2030</v>
      </c>
      <c r="F27" s="7">
        <v>1.0449999999999999</v>
      </c>
      <c r="G27" s="18">
        <f t="shared" si="0"/>
        <v>1.0449999999999999</v>
      </c>
    </row>
    <row r="28" spans="2:7" x14ac:dyDescent="0.25">
      <c r="B28" s="36" t="s">
        <v>2</v>
      </c>
      <c r="C28" s="37"/>
      <c r="D28" s="37"/>
      <c r="E28" s="38"/>
      <c r="F28" s="22">
        <f>F20*F21*F22</f>
        <v>4931.5065008411375</v>
      </c>
      <c r="G28" s="26">
        <f>G20*G21*G22*G23</f>
        <v>708.43782515921987</v>
      </c>
    </row>
    <row r="29" spans="2:7" x14ac:dyDescent="0.25">
      <c r="B29" s="36" t="s">
        <v>3</v>
      </c>
      <c r="C29" s="37"/>
      <c r="D29" s="37"/>
      <c r="E29" s="38"/>
      <c r="F29" s="11">
        <f>F30-F28</f>
        <v>986.3013001682275</v>
      </c>
      <c r="G29" s="5">
        <f>G28*20/100</f>
        <v>141.68756503184397</v>
      </c>
    </row>
    <row r="30" spans="2:7" x14ac:dyDescent="0.25">
      <c r="B30" s="36" t="s">
        <v>4</v>
      </c>
      <c r="C30" s="37"/>
      <c r="D30" s="37"/>
      <c r="E30" s="38"/>
      <c r="F30" s="21">
        <f>F28*1.2</f>
        <v>5917.807801009365</v>
      </c>
      <c r="G30" s="5">
        <f>G28+G29</f>
        <v>850.12539019106384</v>
      </c>
    </row>
    <row r="31" spans="2:7" x14ac:dyDescent="0.25">
      <c r="B31" s="16"/>
      <c r="C31" s="16"/>
      <c r="D31" s="16"/>
      <c r="E31" s="16"/>
      <c r="F31" s="17"/>
    </row>
    <row r="32" spans="2:7" x14ac:dyDescent="0.25">
      <c r="B32" t="s">
        <v>5</v>
      </c>
      <c r="C32" s="16"/>
      <c r="D32" s="16"/>
      <c r="E32" s="16"/>
      <c r="F32" s="17"/>
    </row>
  </sheetData>
  <mergeCells count="26">
    <mergeCell ref="B30:E30"/>
    <mergeCell ref="B18:D18"/>
    <mergeCell ref="B19:D19"/>
    <mergeCell ref="B20:E20"/>
    <mergeCell ref="B21:D27"/>
    <mergeCell ref="B28:E28"/>
    <mergeCell ref="B29:E29"/>
    <mergeCell ref="B17:E17"/>
    <mergeCell ref="B9:D9"/>
    <mergeCell ref="O9:S9"/>
    <mergeCell ref="B10:D10"/>
    <mergeCell ref="O10:S10"/>
    <mergeCell ref="B11:E11"/>
    <mergeCell ref="O11:S11"/>
    <mergeCell ref="B12:D12"/>
    <mergeCell ref="B13:E13"/>
    <mergeCell ref="B14:D14"/>
    <mergeCell ref="B15:D15"/>
    <mergeCell ref="B16:D16"/>
    <mergeCell ref="B8:E8"/>
    <mergeCell ref="B1:H1"/>
    <mergeCell ref="B4:D5"/>
    <mergeCell ref="F4:G4"/>
    <mergeCell ref="B6:D6"/>
    <mergeCell ref="B7:D7"/>
    <mergeCell ref="B2:G2"/>
  </mergeCells>
  <pageMargins left="0.39370078740157483" right="0" top="0.78740157480314965" bottom="0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U31"/>
  <sheetViews>
    <sheetView workbookViewId="0">
      <selection activeCell="B1" sqref="B1:I1"/>
    </sheetView>
  </sheetViews>
  <sheetFormatPr defaultColWidth="9" defaultRowHeight="15" x14ac:dyDescent="0.25"/>
  <cols>
    <col min="1" max="1" width="1.7109375" customWidth="1"/>
    <col min="2" max="2" width="9.140625" customWidth="1"/>
    <col min="3" max="3" width="23.5703125" customWidth="1"/>
    <col min="4" max="4" width="9.140625" customWidth="1"/>
    <col min="6" max="6" width="9.140625" customWidth="1"/>
    <col min="7" max="7" width="12.5703125" customWidth="1"/>
    <col min="8" max="8" width="12" customWidth="1"/>
    <col min="9" max="9" width="12.85546875" customWidth="1"/>
    <col min="15" max="15" width="18" customWidth="1"/>
  </cols>
  <sheetData>
    <row r="1" spans="2:21" x14ac:dyDescent="0.25">
      <c r="B1" s="49" t="s">
        <v>13</v>
      </c>
      <c r="C1" s="49"/>
      <c r="D1" s="49"/>
      <c r="E1" s="49"/>
      <c r="F1" s="49"/>
      <c r="G1" s="49"/>
      <c r="H1" s="49"/>
      <c r="I1" s="49"/>
    </row>
    <row r="2" spans="2:21" x14ac:dyDescent="0.25">
      <c r="C2" s="3"/>
      <c r="D2" s="3"/>
      <c r="E2" s="3"/>
      <c r="F2" s="3"/>
      <c r="G2" s="3"/>
      <c r="H2" s="3"/>
      <c r="I2" s="3"/>
    </row>
    <row r="3" spans="2:21" ht="15.75" x14ac:dyDescent="0.25">
      <c r="C3" s="50" t="s">
        <v>0</v>
      </c>
      <c r="D3" s="51"/>
      <c r="E3" s="52"/>
      <c r="F3" s="2"/>
      <c r="G3" s="56"/>
      <c r="H3" s="57"/>
    </row>
    <row r="4" spans="2:21" ht="15.75" x14ac:dyDescent="0.25">
      <c r="C4" s="53"/>
      <c r="D4" s="54"/>
      <c r="E4" s="55"/>
      <c r="F4" s="4"/>
      <c r="G4" s="9" t="s">
        <v>6</v>
      </c>
      <c r="H4" s="10" t="s">
        <v>7</v>
      </c>
      <c r="L4" s="19" t="s">
        <v>19</v>
      </c>
    </row>
    <row r="5" spans="2:21" ht="63.75" customHeight="1" x14ac:dyDescent="0.25">
      <c r="C5" s="40" t="s">
        <v>22</v>
      </c>
      <c r="D5" s="41"/>
      <c r="E5" s="41"/>
      <c r="F5" s="2"/>
      <c r="G5" s="2">
        <v>963.68</v>
      </c>
      <c r="H5" s="2">
        <v>1526.73</v>
      </c>
      <c r="L5" s="13" t="s">
        <v>8</v>
      </c>
      <c r="M5" s="13" t="s">
        <v>12</v>
      </c>
    </row>
    <row r="6" spans="2:21" ht="59.25" customHeight="1" x14ac:dyDescent="0.25">
      <c r="C6" s="58" t="s">
        <v>14</v>
      </c>
      <c r="D6" s="59"/>
      <c r="E6" s="59"/>
      <c r="F6" s="2"/>
      <c r="G6" s="11">
        <v>2.17</v>
      </c>
      <c r="H6" s="11">
        <v>1.9</v>
      </c>
      <c r="L6" s="2">
        <v>16</v>
      </c>
      <c r="M6" s="2">
        <v>405.81</v>
      </c>
      <c r="P6" s="19"/>
    </row>
    <row r="7" spans="2:21" x14ac:dyDescent="0.25">
      <c r="C7" s="42" t="s">
        <v>9</v>
      </c>
      <c r="D7" s="43"/>
      <c r="E7" s="43"/>
      <c r="F7" s="44"/>
      <c r="G7" s="26">
        <f>G5*G6</f>
        <v>2091.1855999999998</v>
      </c>
      <c r="H7" s="26">
        <f>H5*H6</f>
        <v>2900.7869999999998</v>
      </c>
      <c r="L7" s="2">
        <v>25</v>
      </c>
      <c r="M7" s="2">
        <v>446.04</v>
      </c>
      <c r="P7" s="20" t="s">
        <v>18</v>
      </c>
      <c r="Q7" t="s">
        <v>23</v>
      </c>
    </row>
    <row r="8" spans="2:21" ht="84.75" customHeight="1" x14ac:dyDescent="0.25">
      <c r="C8" s="40" t="s">
        <v>24</v>
      </c>
      <c r="D8" s="41"/>
      <c r="E8" s="41"/>
      <c r="F8" s="23">
        <v>1.0900000000000001</v>
      </c>
      <c r="G8" s="11">
        <v>949.02</v>
      </c>
      <c r="H8" s="2">
        <v>1214.6400000000001</v>
      </c>
      <c r="L8" s="2">
        <v>35</v>
      </c>
      <c r="M8" s="2">
        <v>485.12</v>
      </c>
      <c r="P8" s="39" t="s">
        <v>15</v>
      </c>
      <c r="Q8" s="39"/>
      <c r="R8" s="39"/>
      <c r="S8" s="39"/>
      <c r="T8" s="39"/>
      <c r="U8" s="2">
        <v>1.2</v>
      </c>
    </row>
    <row r="9" spans="2:21" ht="82.5" customHeight="1" x14ac:dyDescent="0.25">
      <c r="C9" s="40" t="s">
        <v>25</v>
      </c>
      <c r="D9" s="41"/>
      <c r="E9" s="41"/>
      <c r="F9" s="24">
        <v>1.07</v>
      </c>
      <c r="G9" s="28">
        <f>M9</f>
        <v>547.16</v>
      </c>
      <c r="H9" s="27"/>
      <c r="L9" s="1">
        <v>50</v>
      </c>
      <c r="M9" s="1">
        <v>547.16</v>
      </c>
      <c r="P9" s="39" t="s">
        <v>16</v>
      </c>
      <c r="Q9" s="39"/>
      <c r="R9" s="39"/>
      <c r="S9" s="39"/>
      <c r="T9" s="39"/>
      <c r="U9" s="2">
        <v>1.5</v>
      </c>
    </row>
    <row r="10" spans="2:21" ht="49.5" customHeight="1" x14ac:dyDescent="0.25">
      <c r="C10" s="42" t="s">
        <v>9</v>
      </c>
      <c r="D10" s="43"/>
      <c r="E10" s="43"/>
      <c r="F10" s="44"/>
      <c r="G10" s="21">
        <f>G8*F8+G9*F9</f>
        <v>1619.893</v>
      </c>
      <c r="H10" s="6">
        <f>H7+H8+H9</f>
        <v>4115.4269999999997</v>
      </c>
      <c r="L10" s="8">
        <v>70</v>
      </c>
      <c r="M10" s="8">
        <v>652.30999999999995</v>
      </c>
      <c r="P10" s="39" t="s">
        <v>17</v>
      </c>
      <c r="Q10" s="39"/>
      <c r="R10" s="39"/>
      <c r="S10" s="39"/>
      <c r="T10" s="39"/>
      <c r="U10" s="2">
        <v>2.99</v>
      </c>
    </row>
    <row r="11" spans="2:21" x14ac:dyDescent="0.25">
      <c r="C11" s="46" t="s">
        <v>10</v>
      </c>
      <c r="D11" s="46"/>
      <c r="E11" s="46"/>
      <c r="F11" s="2"/>
      <c r="G11" s="14">
        <v>0</v>
      </c>
      <c r="H11" s="15"/>
      <c r="L11" s="8">
        <v>95</v>
      </c>
      <c r="M11" s="8">
        <v>761.97</v>
      </c>
    </row>
    <row r="12" spans="2:21" x14ac:dyDescent="0.25">
      <c r="C12" s="42" t="s">
        <v>9</v>
      </c>
      <c r="D12" s="43"/>
      <c r="E12" s="43"/>
      <c r="F12" s="44"/>
      <c r="G12" s="21">
        <f>(G10+G7)*G11</f>
        <v>0</v>
      </c>
      <c r="H12" s="6">
        <f>H10*H11</f>
        <v>0</v>
      </c>
    </row>
    <row r="13" spans="2:21" ht="18.75" customHeight="1" x14ac:dyDescent="0.25">
      <c r="C13" s="47" t="s">
        <v>11</v>
      </c>
      <c r="D13" s="48"/>
      <c r="E13" s="48"/>
      <c r="F13" s="12"/>
      <c r="G13" s="5">
        <f>G11*1000/35</f>
        <v>0</v>
      </c>
      <c r="H13" s="5">
        <f>G13</f>
        <v>0</v>
      </c>
    </row>
    <row r="14" spans="2:21" ht="82.5" customHeight="1" x14ac:dyDescent="0.25">
      <c r="C14" s="40" t="s">
        <v>26</v>
      </c>
      <c r="D14" s="41"/>
      <c r="E14" s="41"/>
      <c r="F14" s="23">
        <v>1.07</v>
      </c>
      <c r="G14" s="11">
        <v>4.95</v>
      </c>
      <c r="H14" s="2">
        <v>4.95</v>
      </c>
      <c r="O14" s="25" t="s">
        <v>28</v>
      </c>
    </row>
    <row r="15" spans="2:21" ht="87" customHeight="1" x14ac:dyDescent="0.25">
      <c r="C15" s="40" t="s">
        <v>27</v>
      </c>
      <c r="D15" s="41"/>
      <c r="E15" s="41"/>
      <c r="F15" s="24">
        <v>1.07</v>
      </c>
      <c r="G15" s="11">
        <v>5.72</v>
      </c>
      <c r="H15" s="2">
        <v>5.72</v>
      </c>
    </row>
    <row r="16" spans="2:21" x14ac:dyDescent="0.25">
      <c r="C16" s="42" t="s">
        <v>9</v>
      </c>
      <c r="D16" s="43"/>
      <c r="E16" s="43"/>
      <c r="F16" s="44"/>
      <c r="G16" s="21">
        <f>(G14+G15)*F14*G13</f>
        <v>0</v>
      </c>
      <c r="H16" s="6">
        <f>(H14+H15)*H13</f>
        <v>0</v>
      </c>
    </row>
    <row r="17" spans="3:8" ht="51.75" customHeight="1" x14ac:dyDescent="0.25">
      <c r="C17" s="45" t="s">
        <v>20</v>
      </c>
      <c r="D17" s="46"/>
      <c r="E17" s="46"/>
      <c r="F17" s="12">
        <v>514.42999999999995</v>
      </c>
      <c r="G17" s="5"/>
      <c r="H17" s="2"/>
    </row>
    <row r="18" spans="3:8" ht="44.25" customHeight="1" x14ac:dyDescent="0.25">
      <c r="C18" s="45" t="s">
        <v>21</v>
      </c>
      <c r="D18" s="46"/>
      <c r="E18" s="46"/>
      <c r="F18" s="12">
        <v>11.91</v>
      </c>
      <c r="G18" s="5"/>
      <c r="H18" s="5">
        <f>5000*6.9/100</f>
        <v>345</v>
      </c>
    </row>
    <row r="19" spans="3:8" x14ac:dyDescent="0.25">
      <c r="C19" s="42" t="s">
        <v>9</v>
      </c>
      <c r="D19" s="43"/>
      <c r="E19" s="43"/>
      <c r="F19" s="44"/>
      <c r="G19" s="21">
        <f>G12+G16+G17+G18</f>
        <v>0</v>
      </c>
      <c r="H19" s="6">
        <f>H12+H16+H17+H18</f>
        <v>345</v>
      </c>
    </row>
    <row r="20" spans="3:8" ht="15" customHeight="1" x14ac:dyDescent="0.25">
      <c r="C20" s="30" t="s">
        <v>1</v>
      </c>
      <c r="D20" s="31"/>
      <c r="E20" s="31"/>
      <c r="F20" s="1">
        <v>2024</v>
      </c>
      <c r="G20" s="18">
        <v>1.0740000000000001</v>
      </c>
      <c r="H20" s="7">
        <f>G20</f>
        <v>1.0740000000000001</v>
      </c>
    </row>
    <row r="21" spans="3:8" x14ac:dyDescent="0.25">
      <c r="C21" s="32"/>
      <c r="D21" s="33"/>
      <c r="E21" s="33"/>
      <c r="F21" s="1">
        <v>2025</v>
      </c>
      <c r="G21" s="18">
        <v>1.0609999999999999</v>
      </c>
      <c r="H21" s="7">
        <f t="shared" ref="H21:H26" si="0">G21</f>
        <v>1.0609999999999999</v>
      </c>
    </row>
    <row r="22" spans="3:8" x14ac:dyDescent="0.25">
      <c r="C22" s="32"/>
      <c r="D22" s="33"/>
      <c r="E22" s="33"/>
      <c r="F22" s="1">
        <v>2026</v>
      </c>
      <c r="G22" s="18">
        <v>1.0529999999999999</v>
      </c>
      <c r="H22" s="7">
        <f t="shared" si="0"/>
        <v>1.0529999999999999</v>
      </c>
    </row>
    <row r="23" spans="3:8" x14ac:dyDescent="0.25">
      <c r="C23" s="32"/>
      <c r="D23" s="33"/>
      <c r="E23" s="33"/>
      <c r="F23" s="2">
        <v>2027</v>
      </c>
      <c r="G23" s="18">
        <v>1.0449999999999999</v>
      </c>
      <c r="H23" s="7">
        <f t="shared" si="0"/>
        <v>1.0449999999999999</v>
      </c>
    </row>
    <row r="24" spans="3:8" x14ac:dyDescent="0.25">
      <c r="C24" s="32"/>
      <c r="D24" s="33"/>
      <c r="E24" s="33"/>
      <c r="F24" s="2">
        <v>2028</v>
      </c>
      <c r="G24" s="7">
        <v>1.0449999999999999</v>
      </c>
      <c r="H24" s="7">
        <f t="shared" si="0"/>
        <v>1.0449999999999999</v>
      </c>
    </row>
    <row r="25" spans="3:8" x14ac:dyDescent="0.25">
      <c r="C25" s="32"/>
      <c r="D25" s="33"/>
      <c r="E25" s="33"/>
      <c r="F25" s="2">
        <v>2029</v>
      </c>
      <c r="G25" s="7">
        <v>1.0449999999999999</v>
      </c>
      <c r="H25" s="7">
        <f t="shared" si="0"/>
        <v>1.0449999999999999</v>
      </c>
    </row>
    <row r="26" spans="3:8" x14ac:dyDescent="0.25">
      <c r="C26" s="34"/>
      <c r="D26" s="35"/>
      <c r="E26" s="35"/>
      <c r="F26" s="2">
        <v>2030</v>
      </c>
      <c r="G26" s="7">
        <v>1.0449999999999999</v>
      </c>
      <c r="H26" s="7">
        <f t="shared" si="0"/>
        <v>1.0449999999999999</v>
      </c>
    </row>
    <row r="27" spans="3:8" x14ac:dyDescent="0.25">
      <c r="C27" s="36" t="s">
        <v>2</v>
      </c>
      <c r="D27" s="37"/>
      <c r="E27" s="37"/>
      <c r="F27" s="38"/>
      <c r="G27" s="22">
        <f>G19*G20*G21*G22</f>
        <v>0</v>
      </c>
      <c r="H27" s="5">
        <f>H19*H20*H21*H22</f>
        <v>413.96834349</v>
      </c>
    </row>
    <row r="28" spans="3:8" x14ac:dyDescent="0.25">
      <c r="C28" s="36" t="s">
        <v>3</v>
      </c>
      <c r="D28" s="37"/>
      <c r="E28" s="37"/>
      <c r="F28" s="38"/>
      <c r="G28" s="11">
        <f>G29-G27</f>
        <v>0</v>
      </c>
      <c r="H28" s="5">
        <f>H27*20/100</f>
        <v>82.793668698000005</v>
      </c>
    </row>
    <row r="29" spans="3:8" x14ac:dyDescent="0.25">
      <c r="C29" s="36" t="s">
        <v>4</v>
      </c>
      <c r="D29" s="37"/>
      <c r="E29" s="37"/>
      <c r="F29" s="38"/>
      <c r="G29" s="21">
        <f>G27*1.2</f>
        <v>0</v>
      </c>
      <c r="H29" s="5">
        <f>H27+H28</f>
        <v>496.76201218799997</v>
      </c>
    </row>
    <row r="30" spans="3:8" x14ac:dyDescent="0.25">
      <c r="C30" s="16"/>
      <c r="D30" s="16"/>
      <c r="E30" s="16"/>
      <c r="F30" s="16"/>
      <c r="G30" s="17"/>
    </row>
    <row r="31" spans="3:8" x14ac:dyDescent="0.25">
      <c r="C31" t="s">
        <v>5</v>
      </c>
      <c r="D31" s="16"/>
      <c r="E31" s="16"/>
      <c r="F31" s="16"/>
      <c r="G31" s="17"/>
    </row>
  </sheetData>
  <mergeCells count="25">
    <mergeCell ref="C11:E11"/>
    <mergeCell ref="C12:F12"/>
    <mergeCell ref="C13:E13"/>
    <mergeCell ref="B1:I1"/>
    <mergeCell ref="C3:E4"/>
    <mergeCell ref="G3:H3"/>
    <mergeCell ref="C5:E5"/>
    <mergeCell ref="C6:E6"/>
    <mergeCell ref="C7:F7"/>
    <mergeCell ref="C20:E26"/>
    <mergeCell ref="C27:F27"/>
    <mergeCell ref="C28:F28"/>
    <mergeCell ref="C29:F29"/>
    <mergeCell ref="P8:T8"/>
    <mergeCell ref="P9:T9"/>
    <mergeCell ref="P10:T10"/>
    <mergeCell ref="C14:E14"/>
    <mergeCell ref="C15:E15"/>
    <mergeCell ref="C16:F16"/>
    <mergeCell ref="C17:E17"/>
    <mergeCell ref="C18:E18"/>
    <mergeCell ref="C19:F19"/>
    <mergeCell ref="C8:E8"/>
    <mergeCell ref="C9:E9"/>
    <mergeCell ref="C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 126</vt:lpstr>
      <vt:lpstr>ВЛ-0,4 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Мохова Любовь Ивановна</dc:creator>
  <cp:lastModifiedBy>Root</cp:lastModifiedBy>
  <cp:lastPrinted>2025-03-27T09:39:00Z</cp:lastPrinted>
  <dcterms:created xsi:type="dcterms:W3CDTF">2019-09-24T05:04:00Z</dcterms:created>
  <dcterms:modified xsi:type="dcterms:W3CDTF">2025-03-27T09:43:01Z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F404AE424DFE45408F574254D55A4C30_12</vt:lpwstr>
  </property>
  <property fmtid="{D5CDD505-2E9C-101B-9397-08002B2CF9AE}" pid="3" name="KSOProductBuildVer">
    <vt:lpwstr>1049-12.2.0.19805</vt:lpwstr>
  </property>
</Properties>
</file>