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7110" tabRatio="1000" activeTab="21"/>
  </bookViews>
  <sheets>
    <sheet name="КТП " sheetId="28" r:id="rId1"/>
    <sheet name="1" sheetId="63" r:id="rId2"/>
    <sheet name="2" sheetId="64" r:id="rId3"/>
    <sheet name="3" sheetId="65" r:id="rId4"/>
    <sheet name="4" sheetId="66" r:id="rId5"/>
    <sheet name="5" sheetId="67" r:id="rId6"/>
    <sheet name="6" sheetId="68" r:id="rId7"/>
    <sheet name="7" sheetId="69" r:id="rId8"/>
    <sheet name="8" sheetId="70" r:id="rId9"/>
    <sheet name="9" sheetId="71" r:id="rId10"/>
    <sheet name="10" sheetId="72" r:id="rId11"/>
    <sheet name="11" sheetId="73" r:id="rId12"/>
    <sheet name="12" sheetId="74" r:id="rId13"/>
    <sheet name="13" sheetId="75" r:id="rId14"/>
    <sheet name="14" sheetId="76" r:id="rId15"/>
    <sheet name="15" sheetId="77" r:id="rId16"/>
    <sheet name="16" sheetId="78" r:id="rId17"/>
    <sheet name="Свод" sheetId="79" r:id="rId18"/>
    <sheet name="КЛ-0,4 кВ" sheetId="29" r:id="rId19"/>
    <sheet name="ВЛ-10" sheetId="14" r:id="rId20"/>
    <sheet name="ВЛ-0,4 кВ" sheetId="62" r:id="rId21"/>
    <sheet name="19-21" sheetId="80" r:id="rId2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80" l="1"/>
  <c r="G7" i="80"/>
  <c r="G5" i="80"/>
  <c r="G4" i="80"/>
  <c r="G6" i="80" l="1"/>
  <c r="G16" i="80" l="1"/>
  <c r="G17" i="80" s="1"/>
  <c r="G18" i="80" s="1"/>
  <c r="G7" i="68"/>
  <c r="G7" i="63"/>
  <c r="I5" i="79" l="1"/>
  <c r="J5" i="79" s="1"/>
  <c r="K5" i="79" s="1"/>
  <c r="L5" i="79" s="1"/>
  <c r="H20" i="79"/>
  <c r="H19" i="79"/>
  <c r="H18" i="79"/>
  <c r="H17" i="79"/>
  <c r="H16" i="79"/>
  <c r="H15" i="79"/>
  <c r="H14" i="79"/>
  <c r="H13" i="79"/>
  <c r="H12" i="79"/>
  <c r="H11" i="79"/>
  <c r="I11" i="79" s="1"/>
  <c r="J11" i="79" s="1"/>
  <c r="K11" i="79" s="1"/>
  <c r="L11" i="79" s="1"/>
  <c r="H10" i="79"/>
  <c r="H9" i="79"/>
  <c r="H8" i="79"/>
  <c r="H7" i="79"/>
  <c r="H6" i="79"/>
  <c r="I6" i="79" s="1"/>
  <c r="J6" i="79" s="1"/>
  <c r="K6" i="79" s="1"/>
  <c r="L6" i="79" s="1"/>
  <c r="H5" i="79"/>
  <c r="I20" i="79"/>
  <c r="J20" i="79" s="1"/>
  <c r="K20" i="79" s="1"/>
  <c r="L20" i="79" s="1"/>
  <c r="I19" i="79"/>
  <c r="J19" i="79" s="1"/>
  <c r="K19" i="79" s="1"/>
  <c r="L19" i="79" s="1"/>
  <c r="I18" i="79"/>
  <c r="J18" i="79" s="1"/>
  <c r="K18" i="79" s="1"/>
  <c r="L18" i="79" s="1"/>
  <c r="I17" i="79"/>
  <c r="J17" i="79" s="1"/>
  <c r="K17" i="79" s="1"/>
  <c r="L17" i="79" s="1"/>
  <c r="I16" i="79"/>
  <c r="J16" i="79" s="1"/>
  <c r="K16" i="79" s="1"/>
  <c r="L16" i="79" s="1"/>
  <c r="I15" i="79"/>
  <c r="J15" i="79" s="1"/>
  <c r="K15" i="79" s="1"/>
  <c r="L15" i="79" s="1"/>
  <c r="I14" i="79"/>
  <c r="J14" i="79" s="1"/>
  <c r="K14" i="79" s="1"/>
  <c r="L14" i="79" s="1"/>
  <c r="I13" i="79"/>
  <c r="J13" i="79" s="1"/>
  <c r="K13" i="79" s="1"/>
  <c r="L13" i="79" s="1"/>
  <c r="I12" i="79"/>
  <c r="J12" i="79" s="1"/>
  <c r="K12" i="79" s="1"/>
  <c r="L12" i="79" s="1"/>
  <c r="I10" i="79"/>
  <c r="J10" i="79" s="1"/>
  <c r="K10" i="79" s="1"/>
  <c r="L10" i="79" s="1"/>
  <c r="I9" i="79"/>
  <c r="J9" i="79" s="1"/>
  <c r="K9" i="79" s="1"/>
  <c r="L9" i="79" s="1"/>
  <c r="I8" i="79"/>
  <c r="J8" i="79" s="1"/>
  <c r="K8" i="79" s="1"/>
  <c r="L8" i="79" s="1"/>
  <c r="I7" i="79"/>
  <c r="J7" i="79" s="1"/>
  <c r="K7" i="79" s="1"/>
  <c r="L7" i="79" s="1"/>
  <c r="G7" i="78"/>
  <c r="G8" i="78" s="1"/>
  <c r="G16" i="78" s="1"/>
  <c r="G5" i="78"/>
  <c r="G6" i="78" s="1"/>
  <c r="G7" i="77"/>
  <c r="G8" i="77" s="1"/>
  <c r="G16" i="77" s="1"/>
  <c r="G5" i="77"/>
  <c r="G6" i="77" s="1"/>
  <c r="G16" i="76"/>
  <c r="G7" i="76"/>
  <c r="G7" i="75"/>
  <c r="G8" i="75" s="1"/>
  <c r="G16" i="75" s="1"/>
  <c r="G5" i="75"/>
  <c r="G6" i="75" s="1"/>
  <c r="G7" i="74"/>
  <c r="G5" i="74"/>
  <c r="G6" i="74" s="1"/>
  <c r="G7" i="73"/>
  <c r="G5" i="73"/>
  <c r="G6" i="73" s="1"/>
  <c r="G7" i="72"/>
  <c r="G16" i="72"/>
  <c r="G7" i="71"/>
  <c r="G5" i="71"/>
  <c r="G6" i="71" s="1"/>
  <c r="G7" i="70"/>
  <c r="G5" i="70"/>
  <c r="G6" i="70" s="1"/>
  <c r="G7" i="69"/>
  <c r="G8" i="69" s="1"/>
  <c r="G16" i="69" s="1"/>
  <c r="G5" i="69"/>
  <c r="G6" i="69" s="1"/>
  <c r="G8" i="68"/>
  <c r="G16" i="68" s="1"/>
  <c r="G5" i="68"/>
  <c r="G6" i="68" s="1"/>
  <c r="G7" i="67"/>
  <c r="G5" i="67"/>
  <c r="G6" i="67" s="1"/>
  <c r="G16" i="66"/>
  <c r="G7" i="66"/>
  <c r="G16" i="65"/>
  <c r="G7" i="65"/>
  <c r="G16" i="64"/>
  <c r="G16" i="63"/>
  <c r="I21" i="79" l="1"/>
  <c r="H21" i="79"/>
  <c r="G17" i="78"/>
  <c r="G18" i="78" s="1"/>
  <c r="G17" i="77"/>
  <c r="G18" i="77" s="1"/>
  <c r="G17" i="75"/>
  <c r="G18" i="75" s="1"/>
  <c r="G8" i="74"/>
  <c r="G16" i="74" s="1"/>
  <c r="G8" i="73"/>
  <c r="G16" i="73" s="1"/>
  <c r="G8" i="71"/>
  <c r="G16" i="71" s="1"/>
  <c r="G8" i="70"/>
  <c r="G16" i="70" s="1"/>
  <c r="G18" i="69"/>
  <c r="G17" i="69"/>
  <c r="G17" i="68"/>
  <c r="G18" i="68" s="1"/>
  <c r="G8" i="67"/>
  <c r="G16" i="67" s="1"/>
  <c r="J21" i="79" l="1"/>
  <c r="G17" i="74"/>
  <c r="G18" i="74" s="1"/>
  <c r="G17" i="73"/>
  <c r="G18" i="73" s="1"/>
  <c r="G18" i="71"/>
  <c r="G17" i="71"/>
  <c r="G17" i="70"/>
  <c r="G18" i="70" s="1"/>
  <c r="G18" i="67"/>
  <c r="G17" i="67"/>
  <c r="K21" i="79" l="1"/>
  <c r="L21" i="79"/>
  <c r="G7" i="64" l="1"/>
  <c r="G8" i="63"/>
  <c r="G6" i="63"/>
  <c r="G5" i="63"/>
  <c r="G5" i="76"/>
  <c r="G6" i="76" s="1"/>
  <c r="G8" i="76" s="1"/>
  <c r="G6" i="72"/>
  <c r="G8" i="72" s="1"/>
  <c r="G5" i="72"/>
  <c r="G5" i="66"/>
  <c r="G6" i="66" s="1"/>
  <c r="G8" i="66" s="1"/>
  <c r="G5" i="65"/>
  <c r="G6" i="65" s="1"/>
  <c r="G8" i="65" s="1"/>
  <c r="G5" i="64"/>
  <c r="G6" i="64" s="1"/>
  <c r="G8" i="64" s="1"/>
  <c r="G17" i="76" l="1"/>
  <c r="G18" i="76" s="1"/>
  <c r="G17" i="72"/>
  <c r="G18" i="72"/>
  <c r="G17" i="66"/>
  <c r="G18" i="66" s="1"/>
  <c r="G17" i="65"/>
  <c r="G18" i="65" s="1"/>
  <c r="G17" i="64"/>
  <c r="G18" i="64" s="1"/>
  <c r="G17" i="63"/>
  <c r="G18" i="63" s="1"/>
  <c r="G8" i="28" l="1"/>
  <c r="H21" i="62" l="1"/>
  <c r="H22" i="62"/>
  <c r="H23" i="62"/>
  <c r="H24" i="62"/>
  <c r="H25" i="62"/>
  <c r="H26" i="62"/>
  <c r="H20" i="62"/>
  <c r="H21" i="14"/>
  <c r="H22" i="14"/>
  <c r="H23" i="14"/>
  <c r="H24" i="14"/>
  <c r="H25" i="14"/>
  <c r="H26" i="14"/>
  <c r="H20" i="14"/>
  <c r="H18" i="14"/>
  <c r="H18" i="62"/>
  <c r="H13" i="14"/>
  <c r="G10" i="14"/>
  <c r="H7" i="14"/>
  <c r="G16" i="62"/>
  <c r="H13" i="62"/>
  <c r="H16" i="62" s="1"/>
  <c r="H7" i="62"/>
  <c r="H10" i="62" s="1"/>
  <c r="H12" i="62" s="1"/>
  <c r="G7" i="62"/>
  <c r="G10" i="62" s="1"/>
  <c r="G12" i="62" s="1"/>
  <c r="G19" i="62" s="1"/>
  <c r="G27" i="62" s="1"/>
  <c r="G29" i="62" s="1"/>
  <c r="G28" i="62" s="1"/>
  <c r="H12" i="29"/>
  <c r="G6" i="28"/>
  <c r="H19" i="62" l="1"/>
  <c r="H27" i="62" s="1"/>
  <c r="H28" i="62" l="1"/>
  <c r="H29" i="62" s="1"/>
  <c r="G16" i="28" l="1"/>
  <c r="G5" i="28"/>
  <c r="G16" i="14"/>
  <c r="H16" i="14"/>
  <c r="H10" i="14"/>
  <c r="H12" i="14" s="1"/>
  <c r="G7" i="14"/>
  <c r="G12" i="14" s="1"/>
  <c r="H22" i="29"/>
  <c r="H21" i="29"/>
  <c r="H20" i="29"/>
  <c r="H19" i="29"/>
  <c r="H18" i="29"/>
  <c r="H17" i="29"/>
  <c r="H16" i="29"/>
  <c r="H15" i="29"/>
  <c r="H14" i="29"/>
  <c r="H13" i="29"/>
  <c r="M8" i="29"/>
  <c r="M9" i="29" s="1"/>
  <c r="L8" i="29"/>
  <c r="L9" i="29" s="1"/>
  <c r="K8" i="29"/>
  <c r="K9" i="29" s="1"/>
  <c r="J8" i="29"/>
  <c r="J9" i="29" s="1"/>
  <c r="I8" i="29"/>
  <c r="I9" i="29" s="1"/>
  <c r="H8" i="29"/>
  <c r="H9" i="29" s="1"/>
  <c r="G8" i="29"/>
  <c r="G9" i="29" s="1"/>
  <c r="F8" i="29"/>
  <c r="F9" i="29" s="1"/>
  <c r="G19" i="14" l="1"/>
  <c r="G27" i="14" s="1"/>
  <c r="G29" i="14" s="1"/>
  <c r="G28" i="14" s="1"/>
  <c r="H19" i="14"/>
  <c r="H27" i="14" s="1"/>
  <c r="H28" i="14" s="1"/>
  <c r="H29" i="14" s="1"/>
  <c r="I12" i="29"/>
  <c r="G17" i="28"/>
  <c r="G18" i="28" s="1"/>
  <c r="F10" i="29"/>
  <c r="F23" i="29" s="1"/>
  <c r="F31" i="29" s="1"/>
  <c r="F33" i="29" s="1"/>
  <c r="F32" i="29" l="1"/>
</calcChain>
</file>

<file path=xl/sharedStrings.xml><?xml version="1.0" encoding="utf-8"?>
<sst xmlns="http://schemas.openxmlformats.org/spreadsheetml/2006/main" count="556" uniqueCount="104">
  <si>
    <t>Наименование документа</t>
  </si>
  <si>
    <t>сечение</t>
  </si>
  <si>
    <t>Протяженность, км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</si>
  <si>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</si>
  <si>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</si>
  <si>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</si>
  <si>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</si>
  <si>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</si>
  <si>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</si>
  <si>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</si>
  <si>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</si>
  <si>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</si>
  <si>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</si>
  <si>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</si>
  <si>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t>Кабельные сооружения. Железобетонные лотки ( таб. Н2 стр 110) тыс.руб 1м по трассе</t>
  </si>
  <si>
    <t>90-140 мм</t>
  </si>
  <si>
    <t>160-200 мм</t>
  </si>
  <si>
    <t>225-300 мм</t>
  </si>
  <si>
    <t>тыс. руб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</si>
  <si>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</si>
  <si>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</si>
  <si>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</si>
  <si>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</si>
  <si>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</si>
  <si>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 xml:space="preserve">Строительство КЛ-0,4 кВ </t>
  </si>
  <si>
    <t>Стоимость:</t>
  </si>
  <si>
    <t>Общая сумма:</t>
  </si>
  <si>
    <t>1 цепная</t>
  </si>
  <si>
    <t>2 цепная</t>
  </si>
  <si>
    <t>Сечение</t>
  </si>
  <si>
    <t>СИП-3 1х</t>
  </si>
  <si>
    <t xml:space="preserve"> тыс. руб</t>
  </si>
  <si>
    <t>Протяженность трассы, км</t>
  </si>
  <si>
    <t>Количество опор (пролет 35м), шт.</t>
  </si>
  <si>
    <t>С НДС на 2022 год, тыс. руб</t>
  </si>
  <si>
    <t>СИП-4 4х</t>
  </si>
  <si>
    <t>Строительство КТП</t>
  </si>
  <si>
    <t>Таб. Э1 КТП киоскового типа, тыс.руб</t>
  </si>
  <si>
    <t>Таб. Э2 КТП мачтовые, тыс.руб</t>
  </si>
  <si>
    <t>Таб. Э3 КТП блочные, тыс.руб</t>
  </si>
  <si>
    <t>Площадь подготовки, м2</t>
  </si>
  <si>
    <t>Кол-во трансф-ов</t>
  </si>
  <si>
    <t>Мощность</t>
  </si>
  <si>
    <t>цена</t>
  </si>
  <si>
    <t>Стоимость кабеля КЛ-10 кВ (Приказ Министерства Энергерики РФ от 26 февраля 2024 г. N 131, таб. К3, стр 101), тыс. руб на 1 км трассы</t>
  </si>
  <si>
    <t>Стоимость подстанции (Приказ Министерства Энергерики РФ от 26 февраля 2024 г. N 131, таб. Э1), тыс. руб</t>
  </si>
  <si>
    <t>Подготовка и устройство территории ПС, 1м2 (Приказ Министерства Энергерики РФ от 26 февраля 2024 г. N 131, таб. Б1, стр. 49),                       тыс. руб</t>
  </si>
  <si>
    <t>-</t>
  </si>
  <si>
    <t>Восстановление дорожного покрытия, 1м2 (Приказ Министерства Энергерики РФ от 26 февраля 2024 г. N 131,               таб. Б4, стр. 108), тыс. руб</t>
  </si>
  <si>
    <t>Кабельные сооружения.Трубы. ( таб. Н4 стр 110) тыс.руб 1м по трассе</t>
  </si>
  <si>
    <t>Коэффиц-т Кф1 для КЛ 0,4-35 кВ при протяженности до 100 м. (Приказ Министерства Энергерики РФ от 26 февраля 2024 г. N 131, стр 102)</t>
  </si>
  <si>
    <t xml:space="preserve">Строительство ВЛ-10 кВ </t>
  </si>
  <si>
    <t xml:space="preserve">Строительство ВЛ-0,4 кВ </t>
  </si>
  <si>
    <t>Монтажные работы ВЛ-0,4 кВ (Приказ Министерства Энергерики РФ от 26 февраля 2024 г. N 131, таб. Л1, стр. 111), тыс. руб на 1 км</t>
  </si>
  <si>
    <t>Монтажные работы ВЛ-10 кВ (Приказ Министерства Энергерики РФ от 26 февраля 2024 г. N 131, таб. Л1, стр. 111), тыс. руб на 1 км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</si>
  <si>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</si>
  <si>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</si>
  <si>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</si>
  <si>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</si>
  <si>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!!!!!</t>
  </si>
  <si>
    <t>Монтажные работы ВЛ-0,4 кВ (Приказ Министерства Энергерики РФ от 26 февраля 2024 г. N 131, стр. 113</t>
  </si>
  <si>
    <t>Стоимость опор для ВЛ-10 кВ (Приказ Министерства Энергерики РФ от 26 февраля 2024 г. N 131, таб. Л3, стр. 113), тыс. руб на 1 км</t>
  </si>
  <si>
    <t>Стоимость провода СИП ВЛ-0,4 кВ (Приказ Министерства Энергерики РФ от 17.01.2019 №10, таб. Л7, стр. 116), тыс. руб за 1 км</t>
  </si>
  <si>
    <t>Таб. Л7 стр 116 (тыс. руб за км)</t>
  </si>
  <si>
    <t>Количество опор (пролет 50м), шт.</t>
  </si>
  <si>
    <t>Стоимость провода СИП ВЛ-0,4 кВ (Приказ Министерства Энергерики РФ от 26 февраля 2024 г. N 131, таб. Л7, стр. 116), тыс. руб за 1 км</t>
  </si>
  <si>
    <t>Арматура и устройства крепления провода СИП 1ед. (Приказ Министерства Энергерики РФ от 26 февраля 2024 г. N 131, таб. Л11,               стр. 119),  тыс. руб</t>
  </si>
  <si>
    <t>Устройство защиты от перенапряжения ВЛ-10 кВ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</si>
  <si>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</si>
  <si>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</si>
  <si>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тыс. руб.</t>
  </si>
  <si>
    <t>№ п.п</t>
  </si>
  <si>
    <t>Наименование</t>
  </si>
  <si>
    <t xml:space="preserve">Марка </t>
  </si>
  <si>
    <t>протяженность (м)</t>
  </si>
  <si>
    <t>год ввода в эксплуатацию</t>
  </si>
  <si>
    <t>Стоимость линии на 2026 г.                           (без НДС)</t>
  </si>
  <si>
    <t>2027 (Инд.дифл.=1,045)                              (без НДС)</t>
  </si>
  <si>
    <t>2028 (Инд.дифл.=1,045)                    (без НДС)</t>
  </si>
  <si>
    <t>2029 (Инд.дифл.=1,045)                   (без НДС)</t>
  </si>
  <si>
    <t>2030 (Инд.дифл.=1,045)                    (без НДС)</t>
  </si>
  <si>
    <t>НДС</t>
  </si>
  <si>
    <t>Стоимость с НДС</t>
  </si>
  <si>
    <t>ТП-152</t>
  </si>
  <si>
    <t>ТП</t>
  </si>
  <si>
    <t>2х400</t>
  </si>
  <si>
    <t>КТП-147</t>
  </si>
  <si>
    <t>КТП</t>
  </si>
  <si>
    <t>КТП-85</t>
  </si>
  <si>
    <t>ГКТП-137</t>
  </si>
  <si>
    <t>ГКТП</t>
  </si>
  <si>
    <t>КТП-73</t>
  </si>
  <si>
    <t>КТП-75</t>
  </si>
  <si>
    <t>КТП-81</t>
  </si>
  <si>
    <t>КТП-116</t>
  </si>
  <si>
    <t>КТП-124</t>
  </si>
  <si>
    <t>ГКТП-139</t>
  </si>
  <si>
    <t>КТП-175</t>
  </si>
  <si>
    <t>КТП-178</t>
  </si>
  <si>
    <t>КТП-179</t>
  </si>
  <si>
    <t>КТП-183</t>
  </si>
  <si>
    <t>ГКТП-198</t>
  </si>
  <si>
    <t>Новая ТП набережная Батыра</t>
  </si>
  <si>
    <t>Строительство КТП                                                                                                                                                                                             Реконструкция ВЛ-10 кВ Л 19-21 в Горно-Алтайске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</si>
</sst>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</cellStyleXfs>
  <cellXfs count="126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" fontId="0" fillId="0" borderId="1" xfId="0" applyNumberFormat="1" applyBorder="1"/>
    <xf numFmtId="0" fontId="0" fillId="3" borderId="1" xfId="0" applyFill="1" applyBorder="1"/>
    <xf numFmtId="1" fontId="0" fillId="2" borderId="1" xfId="0" applyNumberFormat="1" applyFill="1" applyBorder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/>
    <xf numFmtId="2" fontId="0" fillId="0" borderId="1" xfId="0" applyNumberFormat="1" applyBorder="1"/>
    <xf numFmtId="0" fontId="0" fillId="0" borderId="4" xfId="0" applyBorder="1"/>
    <xf numFmtId="1" fontId="0" fillId="4" borderId="1" xfId="0" applyNumberFormat="1" applyFill="1" applyBorder="1"/>
    <xf numFmtId="0" fontId="0" fillId="4" borderId="1" xfId="0" applyFill="1" applyBorder="1"/>
    <xf numFmtId="165" fontId="0" fillId="5" borderId="1" xfId="0" applyNumberFormat="1" applyFill="1" applyBorder="1"/>
    <xf numFmtId="0" fontId="0" fillId="5" borderId="1" xfId="0" applyFill="1" applyBorder="1"/>
    <xf numFmtId="164" fontId="0" fillId="2" borderId="1" xfId="0" applyNumberFormat="1" applyFill="1" applyBorder="1"/>
    <xf numFmtId="165" fontId="0" fillId="3" borderId="1" xfId="0" applyNumberFormat="1" applyFill="1" applyBorder="1"/>
    <xf numFmtId="165" fontId="0" fillId="2" borderId="1" xfId="0" applyNumberFormat="1" applyFill="1" applyBorder="1"/>
    <xf numFmtId="0" fontId="0" fillId="0" borderId="0" xfId="0" applyBorder="1" applyAlignment="1">
      <alignment horizontal="right"/>
    </xf>
    <xf numFmtId="1" fontId="0" fillId="0" borderId="0" xfId="0" applyNumberFormat="1" applyBorder="1"/>
    <xf numFmtId="0" fontId="3" fillId="0" borderId="1" xfId="0" applyFont="1" applyBorder="1"/>
    <xf numFmtId="0" fontId="4" fillId="6" borderId="1" xfId="0" applyFont="1" applyFill="1" applyBorder="1" applyAlignment="1">
      <alignment horizontal="center" vertical="center"/>
    </xf>
    <xf numFmtId="0" fontId="3" fillId="6" borderId="1" xfId="0" applyFont="1" applyFill="1" applyBorder="1"/>
    <xf numFmtId="2" fontId="0" fillId="0" borderId="1" xfId="0" applyNumberFormat="1" applyFill="1" applyBorder="1"/>
    <xf numFmtId="1" fontId="0" fillId="0" borderId="1" xfId="0" applyNumberFormat="1" applyFill="1" applyBorder="1"/>
    <xf numFmtId="1" fontId="0" fillId="0" borderId="12" xfId="0" applyNumberForma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8" borderId="0" xfId="0" applyFill="1" applyBorder="1"/>
    <xf numFmtId="1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0" fillId="8" borderId="0" xfId="0" applyFill="1" applyBorder="1" applyAlignment="1">
      <alignment horizontal="center" vertical="center" wrapText="1"/>
    </xf>
    <xf numFmtId="165" fontId="0" fillId="8" borderId="1" xfId="0" applyNumberFormat="1" applyFill="1" applyBorder="1"/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0" fillId="0" borderId="12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2" fontId="0" fillId="9" borderId="1" xfId="0" applyNumberFormat="1" applyFill="1" applyBorder="1"/>
    <xf numFmtId="0" fontId="1" fillId="0" borderId="0" xfId="0" applyFont="1"/>
    <xf numFmtId="0" fontId="0" fillId="5" borderId="0" xfId="0" applyFill="1"/>
    <xf numFmtId="2" fontId="0" fillId="2" borderId="1" xfId="0" applyNumberFormat="1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2" fontId="0" fillId="0" borderId="0" xfId="0" applyNumberFormat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7" borderId="5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7" borderId="5" xfId="0" applyFill="1" applyBorder="1" applyAlignment="1">
      <alignment horizontal="center" wrapText="1"/>
    </xf>
    <xf numFmtId="0" fontId="0" fillId="7" borderId="6" xfId="0" applyFill="1" applyBorder="1" applyAlignment="1">
      <alignment horizontal="center" wrapText="1"/>
    </xf>
    <xf numFmtId="0" fontId="0" fillId="7" borderId="10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9" xfId="0" applyFill="1" applyBorder="1" applyAlignment="1">
      <alignment horizontal="center" wrapText="1"/>
    </xf>
    <xf numFmtId="0" fontId="0" fillId="7" borderId="11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1" fontId="0" fillId="0" borderId="1" xfId="0" applyNumberFormat="1" applyFill="1" applyBorder="1" applyAlignment="1">
      <alignment horizontal="center"/>
    </xf>
    <xf numFmtId="0" fontId="0" fillId="9" borderId="2" xfId="0" applyFill="1" applyBorder="1" applyAlignment="1">
      <alignment horizontal="center" wrapText="1"/>
    </xf>
    <xf numFmtId="0" fontId="0" fillId="9" borderId="3" xfId="0" applyFill="1" applyBorder="1" applyAlignment="1">
      <alignment horizontal="center" wrapText="1"/>
    </xf>
    <xf numFmtId="0" fontId="0" fillId="9" borderId="4" xfId="0" applyFill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7" borderId="2" xfId="0" applyFill="1" applyBorder="1" applyAlignment="1">
      <alignment horizontal="center" wrapText="1"/>
    </xf>
    <xf numFmtId="0" fontId="0" fillId="7" borderId="3" xfId="0" applyFill="1" applyBorder="1" applyAlignment="1">
      <alignment horizontal="center" wrapText="1"/>
    </xf>
    <xf numFmtId="0" fontId="0" fillId="7" borderId="4" xfId="0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10" borderId="1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</cellXfs>
  <cellStyles count="5">
    <cellStyle name="Обычный" xfId="0" builtinId="0"/>
    <cellStyle name="Обычный 10" xfId="1"/>
    <cellStyle name="Обычный 2 2" xfId="2"/>
    <cellStyle name="Обычный 3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W28"/>
  <sheetViews>
    <sheetView workbookViewId="0">
      <selection activeCell="L29" sqref="L29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13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/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56.339999999999996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2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4" t="s">
        <v>47</v>
      </c>
      <c r="U13" s="14">
        <v>1250</v>
      </c>
      <c r="V13" s="2">
        <v>10778.56</v>
      </c>
      <c r="W13" s="44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4" t="s">
        <v>47</v>
      </c>
      <c r="U14" s="14">
        <v>1600</v>
      </c>
      <c r="V14" s="2">
        <v>13553.04</v>
      </c>
      <c r="W14" s="44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G8*G9*G10*G11*G12*G13</f>
        <v>73.823980817632588</v>
      </c>
    </row>
    <row r="17" spans="3:7" x14ac:dyDescent="0.25">
      <c r="C17" s="64" t="s">
        <v>21</v>
      </c>
      <c r="D17" s="65"/>
      <c r="E17" s="65"/>
      <c r="F17" s="66"/>
      <c r="G17" s="53">
        <f>G16*20/100</f>
        <v>14.764796163526517</v>
      </c>
    </row>
    <row r="18" spans="3:7" x14ac:dyDescent="0.25">
      <c r="C18" s="64" t="s">
        <v>22</v>
      </c>
      <c r="D18" s="65"/>
      <c r="E18" s="65"/>
      <c r="F18" s="66"/>
      <c r="G18" s="53">
        <f>G16+G17</f>
        <v>88.5887769811591</v>
      </c>
    </row>
    <row r="28" spans="3:7" x14ac:dyDescent="0.25">
      <c r="C28" t="s">
        <v>23</v>
      </c>
    </row>
  </sheetData>
  <mergeCells count="13">
    <mergeCell ref="B1:J1"/>
    <mergeCell ref="C3:E3"/>
    <mergeCell ref="C4:E4"/>
    <mergeCell ref="C5:E5"/>
    <mergeCell ref="O5:P5"/>
    <mergeCell ref="C17:F17"/>
    <mergeCell ref="C18:F18"/>
    <mergeCell ref="C9:E15"/>
    <mergeCell ref="V5:W5"/>
    <mergeCell ref="C6:F6"/>
    <mergeCell ref="C7:E7"/>
    <mergeCell ref="C8:F8"/>
    <mergeCell ref="C16:F16"/>
  </mergeCells>
  <pageMargins left="0" right="0" top="0.74803149606299202" bottom="0" header="0.31496062992126" footer="0.31496062992126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16" sqref="G16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H33" sqref="H33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O10</f>
        <v>1786.74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1843.08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2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1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2211.5268826653601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442.30537653307198</v>
      </c>
    </row>
    <row r="18" spans="3:7" x14ac:dyDescent="0.25">
      <c r="C18" s="64" t="s">
        <v>22</v>
      </c>
      <c r="D18" s="65"/>
      <c r="E18" s="65"/>
      <c r="F18" s="66"/>
      <c r="G18" s="53">
        <f>G16+G17</f>
        <v>2653.832259198432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16" sqref="G16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16" sqref="G16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16" sqref="G16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16" sqref="G16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O8</f>
        <v>1288.9100000000001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1345.25</v>
      </c>
      <c r="N8" s="2">
        <v>160</v>
      </c>
      <c r="O8" s="1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2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1614.1765625505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322.83531251009998</v>
      </c>
    </row>
    <row r="18" spans="3:7" x14ac:dyDescent="0.25">
      <c r="C18" s="64" t="s">
        <v>22</v>
      </c>
      <c r="D18" s="65"/>
      <c r="E18" s="65"/>
      <c r="F18" s="66"/>
      <c r="G18" s="53">
        <f>G16+G17</f>
        <v>1937.0118750606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16" sqref="G16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16" sqref="G16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3:N21"/>
  <sheetViews>
    <sheetView workbookViewId="0">
      <selection activeCell="D33" sqref="D33"/>
    </sheetView>
  </sheetViews>
  <sheetFormatPr defaultRowHeight="15" x14ac:dyDescent="0.25"/>
  <cols>
    <col min="4" max="4" width="27.7109375" customWidth="1"/>
    <col min="5" max="5" width="11.7109375" customWidth="1"/>
    <col min="6" max="6" width="17.5703125" customWidth="1"/>
    <col min="7" max="7" width="15.140625" customWidth="1"/>
    <col min="8" max="8" width="13.140625" customWidth="1"/>
    <col min="9" max="9" width="12.28515625" customWidth="1"/>
    <col min="10" max="10" width="12.85546875" customWidth="1"/>
    <col min="11" max="11" width="12.42578125" customWidth="1"/>
    <col min="12" max="12" width="12.28515625" customWidth="1"/>
    <col min="14" max="14" width="13.5703125" customWidth="1"/>
  </cols>
  <sheetData>
    <row r="3" spans="3:14" x14ac:dyDescent="0.25">
      <c r="H3" t="s">
        <v>70</v>
      </c>
    </row>
    <row r="4" spans="3:14" ht="60" x14ac:dyDescent="0.25">
      <c r="C4" s="54" t="s">
        <v>71</v>
      </c>
      <c r="D4" s="54" t="s">
        <v>72</v>
      </c>
      <c r="E4" s="54" t="s">
        <v>73</v>
      </c>
      <c r="F4" s="54" t="s">
        <v>74</v>
      </c>
      <c r="G4" s="54" t="s">
        <v>75</v>
      </c>
      <c r="H4" s="63" t="s">
        <v>76</v>
      </c>
      <c r="I4" s="55" t="s">
        <v>77</v>
      </c>
      <c r="J4" s="55" t="s">
        <v>78</v>
      </c>
      <c r="K4" s="55" t="s">
        <v>79</v>
      </c>
      <c r="L4" s="55" t="s">
        <v>80</v>
      </c>
      <c r="M4" s="55" t="s">
        <v>81</v>
      </c>
      <c r="N4" s="55" t="s">
        <v>82</v>
      </c>
    </row>
    <row r="5" spans="3:14" x14ac:dyDescent="0.25">
      <c r="C5" s="58">
        <v>1</v>
      </c>
      <c r="D5" s="58" t="s">
        <v>83</v>
      </c>
      <c r="E5" s="58" t="s">
        <v>84</v>
      </c>
      <c r="F5" s="59" t="s">
        <v>85</v>
      </c>
      <c r="G5" s="56">
        <v>1992</v>
      </c>
      <c r="H5" s="53">
        <f>'1'!G16</f>
        <v>6360.7375890068406</v>
      </c>
      <c r="I5" s="17">
        <f>H5*1.045</f>
        <v>6646.9707805121479</v>
      </c>
      <c r="J5" s="17">
        <f>I5*1.045</f>
        <v>6946.0844656351937</v>
      </c>
      <c r="K5" s="17">
        <f>J5*1.045</f>
        <v>7258.6582665887772</v>
      </c>
      <c r="L5" s="17">
        <f>K5*1.045</f>
        <v>7585.2978885852717</v>
      </c>
      <c r="M5" s="17"/>
      <c r="N5" s="17"/>
    </row>
    <row r="6" spans="3:14" x14ac:dyDescent="0.25">
      <c r="C6" s="58">
        <v>2</v>
      </c>
      <c r="D6" s="58" t="s">
        <v>86</v>
      </c>
      <c r="E6" s="58" t="s">
        <v>87</v>
      </c>
      <c r="F6" s="59">
        <v>250</v>
      </c>
      <c r="G6" s="56">
        <v>1990</v>
      </c>
      <c r="H6" s="53">
        <f>'2'!G16</f>
        <v>1673.8360003427401</v>
      </c>
      <c r="I6" s="17">
        <f>H6*1.045</f>
        <v>1749.1586203581633</v>
      </c>
      <c r="J6" s="17">
        <f t="shared" ref="J6:L20" si="0">I6*1.045</f>
        <v>1827.8707582742804</v>
      </c>
      <c r="K6" s="17">
        <f t="shared" si="0"/>
        <v>1910.1249423966228</v>
      </c>
      <c r="L6" s="17">
        <f t="shared" si="0"/>
        <v>1996.0805648044707</v>
      </c>
      <c r="M6" s="17"/>
      <c r="N6" s="17"/>
    </row>
    <row r="7" spans="3:14" x14ac:dyDescent="0.25">
      <c r="C7" s="58">
        <v>3</v>
      </c>
      <c r="D7" s="58" t="s">
        <v>88</v>
      </c>
      <c r="E7" s="58" t="s">
        <v>87</v>
      </c>
      <c r="F7" s="59">
        <v>250</v>
      </c>
      <c r="G7" s="56">
        <v>1981</v>
      </c>
      <c r="H7" s="53">
        <f>'3'!G16</f>
        <v>1673.8360003427401</v>
      </c>
      <c r="I7" s="17">
        <f t="shared" ref="I7:I20" si="1">H7*1.045</f>
        <v>1749.1586203581633</v>
      </c>
      <c r="J7" s="17">
        <f t="shared" si="0"/>
        <v>1827.8707582742804</v>
      </c>
      <c r="K7" s="17">
        <f t="shared" si="0"/>
        <v>1910.1249423966228</v>
      </c>
      <c r="L7" s="17">
        <f t="shared" si="0"/>
        <v>1996.0805648044707</v>
      </c>
      <c r="M7" s="17"/>
      <c r="N7" s="17"/>
    </row>
    <row r="8" spans="3:14" x14ac:dyDescent="0.25">
      <c r="C8" s="58">
        <v>4</v>
      </c>
      <c r="D8" s="58" t="s">
        <v>89</v>
      </c>
      <c r="E8" s="58" t="s">
        <v>90</v>
      </c>
      <c r="F8" s="59">
        <v>400</v>
      </c>
      <c r="G8" s="56">
        <v>1989</v>
      </c>
      <c r="H8" s="53">
        <f>'4'!G16</f>
        <v>2211.5268826653601</v>
      </c>
      <c r="I8" s="17">
        <f t="shared" si="1"/>
        <v>2311.045592385301</v>
      </c>
      <c r="J8" s="17">
        <f t="shared" si="0"/>
        <v>2415.0426440426395</v>
      </c>
      <c r="K8" s="17">
        <f t="shared" si="0"/>
        <v>2523.7195630245583</v>
      </c>
      <c r="L8" s="17">
        <f t="shared" si="0"/>
        <v>2637.2869433606634</v>
      </c>
      <c r="M8" s="17"/>
      <c r="N8" s="17"/>
    </row>
    <row r="9" spans="3:14" x14ac:dyDescent="0.25">
      <c r="C9" s="58">
        <v>5</v>
      </c>
      <c r="D9" s="58" t="s">
        <v>91</v>
      </c>
      <c r="E9" s="58" t="s">
        <v>87</v>
      </c>
      <c r="F9" s="59">
        <v>250</v>
      </c>
      <c r="G9" s="56">
        <v>1999</v>
      </c>
      <c r="H9" s="53">
        <f>'5'!G16</f>
        <v>1673.8360003427401</v>
      </c>
      <c r="I9" s="17">
        <f t="shared" si="1"/>
        <v>1749.1586203581633</v>
      </c>
      <c r="J9" s="17">
        <f t="shared" si="0"/>
        <v>1827.8707582742804</v>
      </c>
      <c r="K9" s="17">
        <f t="shared" si="0"/>
        <v>1910.1249423966228</v>
      </c>
      <c r="L9" s="17">
        <f t="shared" si="0"/>
        <v>1996.0805648044707</v>
      </c>
      <c r="M9" s="17"/>
      <c r="N9" s="17"/>
    </row>
    <row r="10" spans="3:14" x14ac:dyDescent="0.25">
      <c r="C10" s="58">
        <v>6</v>
      </c>
      <c r="D10" s="58" t="s">
        <v>92</v>
      </c>
      <c r="E10" s="58" t="s">
        <v>87</v>
      </c>
      <c r="F10" s="59">
        <v>250</v>
      </c>
      <c r="G10" s="56">
        <v>1970</v>
      </c>
      <c r="H10" s="53">
        <f>'6'!G16</f>
        <v>1673.8360003427401</v>
      </c>
      <c r="I10" s="17">
        <f t="shared" si="1"/>
        <v>1749.1586203581633</v>
      </c>
      <c r="J10" s="17">
        <f t="shared" si="0"/>
        <v>1827.8707582742804</v>
      </c>
      <c r="K10" s="17">
        <f t="shared" si="0"/>
        <v>1910.1249423966228</v>
      </c>
      <c r="L10" s="17">
        <f t="shared" si="0"/>
        <v>1996.0805648044707</v>
      </c>
      <c r="M10" s="17"/>
      <c r="N10" s="17"/>
    </row>
    <row r="11" spans="3:14" x14ac:dyDescent="0.25">
      <c r="C11" s="58">
        <v>7</v>
      </c>
      <c r="D11" s="58" t="s">
        <v>93</v>
      </c>
      <c r="E11" s="58" t="s">
        <v>87</v>
      </c>
      <c r="F11" s="59">
        <v>250</v>
      </c>
      <c r="G11" s="56">
        <v>1981</v>
      </c>
      <c r="H11" s="53">
        <f>'7'!G16</f>
        <v>1673.8360003427401</v>
      </c>
      <c r="I11" s="17">
        <f t="shared" si="1"/>
        <v>1749.1586203581633</v>
      </c>
      <c r="J11" s="17">
        <f t="shared" si="0"/>
        <v>1827.8707582742804</v>
      </c>
      <c r="K11" s="17">
        <f t="shared" si="0"/>
        <v>1910.1249423966228</v>
      </c>
      <c r="L11" s="17">
        <f t="shared" si="0"/>
        <v>1996.0805648044707</v>
      </c>
      <c r="M11" s="17"/>
      <c r="N11" s="17"/>
    </row>
    <row r="12" spans="3:14" x14ac:dyDescent="0.25">
      <c r="C12" s="58">
        <v>8</v>
      </c>
      <c r="D12" s="58" t="s">
        <v>94</v>
      </c>
      <c r="E12" s="58" t="s">
        <v>87</v>
      </c>
      <c r="F12" s="59">
        <v>250</v>
      </c>
      <c r="G12" s="56">
        <v>1987</v>
      </c>
      <c r="H12" s="53">
        <f>'8'!G16</f>
        <v>1673.8360003427401</v>
      </c>
      <c r="I12" s="17">
        <f t="shared" si="1"/>
        <v>1749.1586203581633</v>
      </c>
      <c r="J12" s="17">
        <f t="shared" si="0"/>
        <v>1827.8707582742804</v>
      </c>
      <c r="K12" s="17">
        <f t="shared" si="0"/>
        <v>1910.1249423966228</v>
      </c>
      <c r="L12" s="17">
        <f t="shared" si="0"/>
        <v>1996.0805648044707</v>
      </c>
      <c r="M12" s="17"/>
      <c r="N12" s="17"/>
    </row>
    <row r="13" spans="3:14" x14ac:dyDescent="0.25">
      <c r="C13" s="58">
        <v>9</v>
      </c>
      <c r="D13" s="58" t="s">
        <v>95</v>
      </c>
      <c r="E13" s="58" t="s">
        <v>87</v>
      </c>
      <c r="F13" s="59">
        <v>250</v>
      </c>
      <c r="G13" s="56">
        <v>1987</v>
      </c>
      <c r="H13" s="53">
        <f>'9'!G16</f>
        <v>1673.8360003427401</v>
      </c>
      <c r="I13" s="17">
        <f t="shared" si="1"/>
        <v>1749.1586203581633</v>
      </c>
      <c r="J13" s="17">
        <f t="shared" si="0"/>
        <v>1827.8707582742804</v>
      </c>
      <c r="K13" s="17">
        <f t="shared" si="0"/>
        <v>1910.1249423966228</v>
      </c>
      <c r="L13" s="17">
        <f t="shared" si="0"/>
        <v>1996.0805648044707</v>
      </c>
      <c r="M13" s="17"/>
      <c r="N13" s="17"/>
    </row>
    <row r="14" spans="3:14" x14ac:dyDescent="0.25">
      <c r="C14" s="58">
        <v>10</v>
      </c>
      <c r="D14" s="58" t="s">
        <v>96</v>
      </c>
      <c r="E14" s="58" t="s">
        <v>90</v>
      </c>
      <c r="F14" s="59">
        <v>400</v>
      </c>
      <c r="G14" s="56">
        <v>1976</v>
      </c>
      <c r="H14" s="53">
        <f>'10'!G16</f>
        <v>2211.5268826653601</v>
      </c>
      <c r="I14" s="17">
        <f t="shared" si="1"/>
        <v>2311.045592385301</v>
      </c>
      <c r="J14" s="17">
        <f t="shared" si="0"/>
        <v>2415.0426440426395</v>
      </c>
      <c r="K14" s="17">
        <f t="shared" si="0"/>
        <v>2523.7195630245583</v>
      </c>
      <c r="L14" s="17">
        <f t="shared" si="0"/>
        <v>2637.2869433606634</v>
      </c>
      <c r="M14" s="17"/>
      <c r="N14" s="17"/>
    </row>
    <row r="15" spans="3:14" x14ac:dyDescent="0.25">
      <c r="C15" s="58">
        <v>11</v>
      </c>
      <c r="D15" s="58" t="s">
        <v>97</v>
      </c>
      <c r="E15" s="58" t="s">
        <v>87</v>
      </c>
      <c r="F15" s="59">
        <v>250</v>
      </c>
      <c r="G15" s="56">
        <v>1995</v>
      </c>
      <c r="H15" s="53">
        <f>'11'!G16</f>
        <v>1673.8360003427401</v>
      </c>
      <c r="I15" s="17">
        <f t="shared" si="1"/>
        <v>1749.1586203581633</v>
      </c>
      <c r="J15" s="17">
        <f t="shared" si="0"/>
        <v>1827.8707582742804</v>
      </c>
      <c r="K15" s="17">
        <f t="shared" si="0"/>
        <v>1910.1249423966228</v>
      </c>
      <c r="L15" s="17">
        <f t="shared" si="0"/>
        <v>1996.0805648044707</v>
      </c>
      <c r="M15" s="17"/>
      <c r="N15" s="17"/>
    </row>
    <row r="16" spans="3:14" x14ac:dyDescent="0.25">
      <c r="C16" s="58">
        <v>12</v>
      </c>
      <c r="D16" s="58" t="s">
        <v>98</v>
      </c>
      <c r="E16" s="58" t="s">
        <v>87</v>
      </c>
      <c r="F16" s="59">
        <v>250</v>
      </c>
      <c r="G16" s="56">
        <v>1995</v>
      </c>
      <c r="H16" s="53">
        <f>'12'!G16</f>
        <v>1673.8360003427401</v>
      </c>
      <c r="I16" s="17">
        <f t="shared" si="1"/>
        <v>1749.1586203581633</v>
      </c>
      <c r="J16" s="17">
        <f t="shared" si="0"/>
        <v>1827.8707582742804</v>
      </c>
      <c r="K16" s="17">
        <f t="shared" si="0"/>
        <v>1910.1249423966228</v>
      </c>
      <c r="L16" s="17">
        <f t="shared" si="0"/>
        <v>1996.0805648044707</v>
      </c>
      <c r="M16" s="17"/>
      <c r="N16" s="17"/>
    </row>
    <row r="17" spans="3:14" x14ac:dyDescent="0.25">
      <c r="C17" s="58">
        <v>13</v>
      </c>
      <c r="D17" s="58" t="s">
        <v>99</v>
      </c>
      <c r="E17" s="58" t="s">
        <v>87</v>
      </c>
      <c r="F17" s="59">
        <v>250</v>
      </c>
      <c r="G17" s="56">
        <v>1995</v>
      </c>
      <c r="H17" s="53">
        <f>'13'!G16</f>
        <v>1673.8360003427401</v>
      </c>
      <c r="I17" s="17">
        <f t="shared" si="1"/>
        <v>1749.1586203581633</v>
      </c>
      <c r="J17" s="17">
        <f t="shared" si="0"/>
        <v>1827.8707582742804</v>
      </c>
      <c r="K17" s="17">
        <f t="shared" si="0"/>
        <v>1910.1249423966228</v>
      </c>
      <c r="L17" s="17">
        <f t="shared" si="0"/>
        <v>1996.0805648044707</v>
      </c>
      <c r="M17" s="17"/>
      <c r="N17" s="17"/>
    </row>
    <row r="18" spans="3:14" x14ac:dyDescent="0.25">
      <c r="C18" s="58">
        <v>14</v>
      </c>
      <c r="D18" s="58" t="s">
        <v>100</v>
      </c>
      <c r="E18" s="58" t="s">
        <v>87</v>
      </c>
      <c r="F18" s="59">
        <v>160</v>
      </c>
      <c r="G18" s="56">
        <v>1995</v>
      </c>
      <c r="H18" s="53">
        <f>'14'!G16</f>
        <v>1614.1765625505</v>
      </c>
      <c r="I18" s="17">
        <f t="shared" si="1"/>
        <v>1686.8145078652724</v>
      </c>
      <c r="J18" s="17">
        <f t="shared" si="0"/>
        <v>1762.7211607192096</v>
      </c>
      <c r="K18" s="17">
        <f t="shared" si="0"/>
        <v>1842.043612951574</v>
      </c>
      <c r="L18" s="17">
        <f t="shared" si="0"/>
        <v>1924.9355755343947</v>
      </c>
      <c r="M18" s="17"/>
      <c r="N18" s="17"/>
    </row>
    <row r="19" spans="3:14" x14ac:dyDescent="0.25">
      <c r="C19" s="58">
        <v>15</v>
      </c>
      <c r="D19" s="58" t="s">
        <v>101</v>
      </c>
      <c r="E19" s="58" t="s">
        <v>90</v>
      </c>
      <c r="F19" s="59">
        <v>250</v>
      </c>
      <c r="G19" s="56">
        <v>2000</v>
      </c>
      <c r="H19" s="53">
        <f>'15'!G16</f>
        <v>1673.8360003427401</v>
      </c>
      <c r="I19" s="17">
        <f t="shared" si="1"/>
        <v>1749.1586203581633</v>
      </c>
      <c r="J19" s="17">
        <f t="shared" si="0"/>
        <v>1827.8707582742804</v>
      </c>
      <c r="K19" s="17">
        <f t="shared" si="0"/>
        <v>1910.1249423966228</v>
      </c>
      <c r="L19" s="17">
        <f t="shared" si="0"/>
        <v>1996.0805648044707</v>
      </c>
      <c r="M19" s="17"/>
      <c r="N19" s="17"/>
    </row>
    <row r="20" spans="3:14" ht="17.25" customHeight="1" x14ac:dyDescent="0.25">
      <c r="C20" s="58">
        <v>16</v>
      </c>
      <c r="D20" s="58" t="s">
        <v>102</v>
      </c>
      <c r="E20" s="58" t="s">
        <v>90</v>
      </c>
      <c r="F20" s="59">
        <v>250</v>
      </c>
      <c r="G20" s="56"/>
      <c r="H20" s="53">
        <f>'16'!G16</f>
        <v>1673.8360003427401</v>
      </c>
      <c r="I20" s="17">
        <f t="shared" si="1"/>
        <v>1749.1586203581633</v>
      </c>
      <c r="J20" s="17">
        <f t="shared" si="0"/>
        <v>1827.8707582742804</v>
      </c>
      <c r="K20" s="17">
        <f t="shared" si="0"/>
        <v>1910.1249423966228</v>
      </c>
      <c r="L20" s="17">
        <f t="shared" si="0"/>
        <v>1996.0805648044707</v>
      </c>
      <c r="M20" s="17"/>
      <c r="N20" s="17"/>
    </row>
    <row r="21" spans="3:14" x14ac:dyDescent="0.25">
      <c r="H21" s="57">
        <f>SUM(H5:H20)</f>
        <v>32483.999921000945</v>
      </c>
      <c r="I21" s="57">
        <f>SUM(I5:I20)</f>
        <v>33945.779917445987</v>
      </c>
      <c r="J21" s="57">
        <f>SUM(J5:J20)</f>
        <v>35473.340013731038</v>
      </c>
      <c r="K21" s="57">
        <f>SUM(K5:K20)</f>
        <v>37069.640314348937</v>
      </c>
      <c r="L21" s="57">
        <f>SUM(L5:L20)</f>
        <v>38737.774128494631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V43"/>
  <sheetViews>
    <sheetView topLeftCell="A7" workbookViewId="0">
      <selection activeCell="B20" sqref="B20:F30"/>
    </sheetView>
  </sheetViews>
  <sheetFormatPr defaultColWidth="9" defaultRowHeight="15" x14ac:dyDescent="0.25"/>
  <cols>
    <col min="1" max="1" width="1.140625" customWidth="1"/>
    <col min="2" max="2" width="40.28515625" customWidth="1"/>
    <col min="3" max="3" width="9.5703125" customWidth="1"/>
    <col min="5" max="5" width="10.5703125" customWidth="1"/>
    <col min="6" max="6" width="7.42578125" customWidth="1"/>
    <col min="8" max="8" width="10" customWidth="1"/>
    <col min="9" max="9" width="11.140625" customWidth="1"/>
  </cols>
  <sheetData>
    <row r="1" spans="1:22" ht="33.75" customHeight="1" x14ac:dyDescent="0.25">
      <c r="A1" s="78" t="s">
        <v>24</v>
      </c>
      <c r="B1" s="78"/>
      <c r="C1" s="78"/>
      <c r="D1" s="78"/>
      <c r="E1" s="78"/>
      <c r="F1" s="78"/>
      <c r="G1" s="78"/>
      <c r="H1" s="78"/>
      <c r="I1" s="78"/>
      <c r="O1" s="37"/>
      <c r="P1" s="37"/>
      <c r="Q1" s="37"/>
      <c r="R1" s="37"/>
      <c r="S1" s="37"/>
      <c r="T1" s="37"/>
      <c r="U1" s="37"/>
      <c r="V1" s="37"/>
    </row>
    <row r="2" spans="1:22" ht="15.75" x14ac:dyDescent="0.25">
      <c r="B2" s="110" t="s">
        <v>0</v>
      </c>
      <c r="C2" s="110"/>
      <c r="D2" s="110"/>
      <c r="E2" s="3"/>
      <c r="F2" s="104" t="s">
        <v>1</v>
      </c>
      <c r="G2" s="105"/>
      <c r="H2" s="105"/>
      <c r="I2" s="105"/>
      <c r="J2" s="105"/>
      <c r="K2" s="105"/>
      <c r="L2" s="105"/>
      <c r="M2" s="105"/>
      <c r="O2" s="37"/>
      <c r="P2" s="37"/>
      <c r="Q2" s="37"/>
      <c r="R2" s="37"/>
      <c r="S2" s="37"/>
      <c r="T2" s="37"/>
      <c r="U2" s="37"/>
      <c r="V2" s="37"/>
    </row>
    <row r="3" spans="1:22" ht="15.75" x14ac:dyDescent="0.25">
      <c r="B3" s="111"/>
      <c r="C3" s="111"/>
      <c r="D3" s="111"/>
      <c r="F3" s="4">
        <v>35</v>
      </c>
      <c r="G3" s="28">
        <v>50</v>
      </c>
      <c r="H3" s="28">
        <v>70</v>
      </c>
      <c r="I3" s="28">
        <v>95</v>
      </c>
      <c r="J3" s="28">
        <v>120</v>
      </c>
      <c r="K3" s="28">
        <v>150</v>
      </c>
      <c r="L3" s="28">
        <v>185</v>
      </c>
      <c r="M3" s="28">
        <v>240</v>
      </c>
      <c r="O3" s="37"/>
      <c r="P3" s="37"/>
      <c r="Q3" s="37"/>
      <c r="R3" s="37"/>
      <c r="S3" s="37"/>
      <c r="T3" s="37"/>
      <c r="U3" s="37"/>
      <c r="V3" s="37"/>
    </row>
    <row r="4" spans="1:22" ht="15.75" x14ac:dyDescent="0.25">
      <c r="B4" s="106" t="s">
        <v>2</v>
      </c>
      <c r="C4" s="106"/>
      <c r="D4" s="106"/>
      <c r="E4" s="106"/>
      <c r="F4" s="29"/>
      <c r="G4" s="30"/>
      <c r="H4" s="30"/>
      <c r="I4" s="30"/>
      <c r="J4" s="30"/>
      <c r="K4" s="30"/>
      <c r="L4" s="30"/>
      <c r="M4" s="30"/>
      <c r="O4" s="37"/>
      <c r="P4" s="37"/>
      <c r="Q4" s="37"/>
      <c r="R4" s="37"/>
      <c r="S4" s="37"/>
      <c r="T4" s="37"/>
      <c r="U4" s="37"/>
      <c r="V4" s="37"/>
    </row>
    <row r="5" spans="1:22" ht="30" customHeight="1" x14ac:dyDescent="0.25">
      <c r="B5" s="107" t="s">
        <v>44</v>
      </c>
      <c r="C5" s="108"/>
      <c r="D5" s="108"/>
      <c r="E5" s="109"/>
      <c r="F5" s="14">
        <v>568.05999999999995</v>
      </c>
      <c r="G5" s="14">
        <v>658.18</v>
      </c>
      <c r="H5" s="14">
        <v>736.89</v>
      </c>
      <c r="I5" s="14">
        <v>879.54</v>
      </c>
      <c r="J5" s="14">
        <v>1017.44</v>
      </c>
      <c r="K5" s="14">
        <v>1173.72</v>
      </c>
      <c r="L5" s="14">
        <v>1487.98</v>
      </c>
      <c r="M5" s="14">
        <v>1802.74</v>
      </c>
      <c r="O5" s="37"/>
      <c r="P5" s="41"/>
      <c r="Q5" s="41"/>
      <c r="R5" s="41"/>
      <c r="S5" s="37"/>
      <c r="T5" s="37"/>
      <c r="U5" s="37"/>
      <c r="V5" s="37"/>
    </row>
    <row r="6" spans="1:22" ht="29.25" customHeight="1" x14ac:dyDescent="0.25">
      <c r="B6" s="107" t="s">
        <v>3</v>
      </c>
      <c r="C6" s="108"/>
      <c r="D6" s="108"/>
      <c r="E6" s="109"/>
      <c r="F6" s="31">
        <v>1.75</v>
      </c>
      <c r="G6" s="31">
        <v>1.75</v>
      </c>
      <c r="H6" s="31">
        <v>1.75</v>
      </c>
      <c r="I6" s="31">
        <v>1.75</v>
      </c>
      <c r="J6" s="31">
        <v>1.75</v>
      </c>
      <c r="K6" s="31">
        <v>1.75</v>
      </c>
      <c r="L6" s="31">
        <v>1.75</v>
      </c>
      <c r="M6" s="31">
        <v>1.75</v>
      </c>
      <c r="O6" s="37"/>
      <c r="P6" s="37"/>
      <c r="Q6" s="37"/>
      <c r="R6" s="37"/>
      <c r="S6" s="37"/>
      <c r="T6" s="37"/>
      <c r="U6" s="37"/>
      <c r="V6" s="37"/>
    </row>
    <row r="7" spans="1:22" ht="30.75" customHeight="1" x14ac:dyDescent="0.25">
      <c r="B7" s="101" t="s">
        <v>50</v>
      </c>
      <c r="C7" s="102"/>
      <c r="D7" s="102"/>
      <c r="E7" s="103"/>
      <c r="F7" s="50">
        <v>1.34</v>
      </c>
      <c r="G7" s="50">
        <v>1.34</v>
      </c>
      <c r="H7" s="50">
        <v>1.34</v>
      </c>
      <c r="I7" s="50">
        <v>1.34</v>
      </c>
      <c r="J7" s="50">
        <v>1.34</v>
      </c>
      <c r="K7" s="50">
        <v>1.34</v>
      </c>
      <c r="L7" s="50">
        <v>1.34</v>
      </c>
      <c r="M7" s="50">
        <v>1.34</v>
      </c>
      <c r="O7" s="37"/>
      <c r="P7" s="37"/>
      <c r="Q7" s="37"/>
      <c r="R7" s="37"/>
      <c r="S7" s="37"/>
      <c r="T7" s="37"/>
      <c r="U7" s="37"/>
      <c r="V7" s="37"/>
    </row>
    <row r="8" spans="1:22" x14ac:dyDescent="0.25">
      <c r="B8" s="74" t="s">
        <v>18</v>
      </c>
      <c r="C8" s="75"/>
      <c r="D8" s="75"/>
      <c r="E8" s="76"/>
      <c r="F8" s="32">
        <f t="shared" ref="F8:M8" si="0">F5*F6</f>
        <v>994.1049999999999</v>
      </c>
      <c r="G8" s="32">
        <f t="shared" si="0"/>
        <v>1151.8149999999998</v>
      </c>
      <c r="H8" s="32">
        <f t="shared" si="0"/>
        <v>1289.5574999999999</v>
      </c>
      <c r="I8" s="32">
        <f t="shared" si="0"/>
        <v>1539.1949999999999</v>
      </c>
      <c r="J8" s="32">
        <f t="shared" si="0"/>
        <v>1780.52</v>
      </c>
      <c r="K8" s="32">
        <f t="shared" si="0"/>
        <v>2054.0100000000002</v>
      </c>
      <c r="L8" s="32">
        <f t="shared" si="0"/>
        <v>2603.9650000000001</v>
      </c>
      <c r="M8" s="32">
        <f t="shared" si="0"/>
        <v>3154.7950000000001</v>
      </c>
      <c r="O8" s="37"/>
      <c r="P8" s="37"/>
      <c r="Q8" s="37"/>
      <c r="R8" s="37"/>
      <c r="S8" s="37"/>
      <c r="T8" s="37"/>
      <c r="U8" s="37"/>
      <c r="V8" s="37"/>
    </row>
    <row r="9" spans="1:22" x14ac:dyDescent="0.25">
      <c r="B9" s="80" t="s">
        <v>25</v>
      </c>
      <c r="C9" s="81"/>
      <c r="D9" s="81"/>
      <c r="E9" s="82"/>
      <c r="F9" s="32">
        <f>F8*F4</f>
        <v>0</v>
      </c>
      <c r="G9" s="32">
        <f t="shared" ref="G9:M9" si="1">G8*G4</f>
        <v>0</v>
      </c>
      <c r="H9" s="32">
        <f t="shared" si="1"/>
        <v>0</v>
      </c>
      <c r="I9" s="32">
        <f t="shared" si="1"/>
        <v>0</v>
      </c>
      <c r="J9" s="32">
        <f t="shared" si="1"/>
        <v>0</v>
      </c>
      <c r="K9" s="32">
        <f t="shared" si="1"/>
        <v>0</v>
      </c>
      <c r="L9" s="32">
        <f t="shared" si="1"/>
        <v>0</v>
      </c>
      <c r="M9" s="32">
        <f t="shared" si="1"/>
        <v>0</v>
      </c>
      <c r="O9" s="37"/>
      <c r="P9" s="37"/>
      <c r="Q9" s="37"/>
      <c r="R9" s="37"/>
      <c r="S9" s="37"/>
      <c r="T9" s="37"/>
      <c r="U9" s="37"/>
      <c r="V9" s="37"/>
    </row>
    <row r="10" spans="1:22" x14ac:dyDescent="0.25">
      <c r="B10" s="80" t="s">
        <v>26</v>
      </c>
      <c r="C10" s="81"/>
      <c r="D10" s="81"/>
      <c r="E10" s="82"/>
      <c r="F10" s="100">
        <f>SUM(F9:M9)</f>
        <v>0</v>
      </c>
      <c r="G10" s="100"/>
      <c r="H10" s="100"/>
      <c r="I10" s="100"/>
      <c r="J10" s="100"/>
      <c r="K10" s="100"/>
      <c r="L10" s="100"/>
      <c r="M10" s="100"/>
      <c r="O10" s="37"/>
      <c r="P10" s="37"/>
      <c r="Q10" s="37"/>
      <c r="R10" s="37"/>
      <c r="S10" s="37"/>
      <c r="T10" s="37"/>
      <c r="U10" s="37"/>
      <c r="V10" s="37"/>
    </row>
    <row r="11" spans="1:22" ht="28.5" customHeight="1" x14ac:dyDescent="0.25">
      <c r="B11" s="6"/>
      <c r="C11" s="7"/>
      <c r="D11" s="7"/>
      <c r="E11" s="8"/>
      <c r="F11" s="33" t="s">
        <v>4</v>
      </c>
      <c r="G11" s="34" t="s">
        <v>5</v>
      </c>
      <c r="H11" s="38" t="s">
        <v>6</v>
      </c>
      <c r="I11" s="39" t="s">
        <v>7</v>
      </c>
      <c r="J11" s="40"/>
      <c r="K11" s="40"/>
      <c r="L11" s="40"/>
      <c r="M11" s="40"/>
      <c r="O11" s="37"/>
      <c r="P11" s="37"/>
      <c r="Q11" s="37"/>
      <c r="R11" s="37"/>
      <c r="S11" s="37"/>
      <c r="T11" s="37"/>
      <c r="U11" s="37"/>
      <c r="V11" s="37"/>
    </row>
    <row r="12" spans="1:22" ht="34.5" customHeight="1" x14ac:dyDescent="0.25">
      <c r="B12" s="93" t="s">
        <v>8</v>
      </c>
      <c r="C12" s="94"/>
      <c r="D12" s="95"/>
      <c r="E12" s="35" t="s">
        <v>9</v>
      </c>
      <c r="F12" s="48">
        <v>933.4</v>
      </c>
      <c r="G12" s="36"/>
      <c r="H12" s="35">
        <f>G12*F12</f>
        <v>0</v>
      </c>
      <c r="I12" s="83">
        <f>SUM(H12:H22)</f>
        <v>0</v>
      </c>
      <c r="O12" s="37"/>
      <c r="P12" s="37"/>
      <c r="Q12" s="37"/>
      <c r="R12" s="37"/>
      <c r="S12" s="37"/>
      <c r="T12" s="37"/>
      <c r="U12" s="37"/>
      <c r="V12" s="37"/>
    </row>
    <row r="13" spans="1:22" ht="24" customHeight="1" x14ac:dyDescent="0.25">
      <c r="B13" s="96"/>
      <c r="C13" s="97"/>
      <c r="D13" s="98"/>
      <c r="E13" s="35" t="s">
        <v>10</v>
      </c>
      <c r="F13" s="49">
        <v>933.4</v>
      </c>
      <c r="G13" s="36"/>
      <c r="H13" s="35">
        <f t="shared" ref="H13:H22" si="2">G13*F13</f>
        <v>0</v>
      </c>
      <c r="I13" s="83"/>
      <c r="O13" s="37"/>
      <c r="P13" s="37"/>
      <c r="Q13" s="37"/>
      <c r="R13" s="37"/>
      <c r="S13" s="37"/>
      <c r="T13" s="37"/>
      <c r="U13" s="37"/>
      <c r="V13" s="37"/>
    </row>
    <row r="14" spans="1:22" ht="31.5" customHeight="1" x14ac:dyDescent="0.25">
      <c r="B14" s="93" t="s">
        <v>11</v>
      </c>
      <c r="C14" s="94"/>
      <c r="D14" s="95"/>
      <c r="E14" s="35" t="s">
        <v>9</v>
      </c>
      <c r="F14" s="43">
        <v>2622.12</v>
      </c>
      <c r="G14" s="36"/>
      <c r="H14" s="35">
        <f t="shared" si="2"/>
        <v>0</v>
      </c>
      <c r="I14" s="83"/>
      <c r="O14" s="37"/>
      <c r="P14" s="37"/>
      <c r="Q14" s="37"/>
      <c r="R14" s="37"/>
      <c r="S14" s="37"/>
      <c r="T14" s="37"/>
      <c r="U14" s="37"/>
      <c r="V14" s="37"/>
    </row>
    <row r="15" spans="1:22" ht="26.25" customHeight="1" x14ac:dyDescent="0.25">
      <c r="B15" s="96"/>
      <c r="C15" s="97"/>
      <c r="D15" s="98"/>
      <c r="E15" s="35" t="s">
        <v>10</v>
      </c>
      <c r="F15" s="43">
        <v>3355.08</v>
      </c>
      <c r="G15" s="36"/>
      <c r="H15" s="35">
        <f t="shared" si="2"/>
        <v>0</v>
      </c>
      <c r="I15" s="83"/>
      <c r="O15" s="37"/>
      <c r="P15" s="37"/>
      <c r="Q15" s="37"/>
      <c r="R15" s="37"/>
      <c r="S15" s="37"/>
      <c r="T15" s="37"/>
      <c r="U15" s="37"/>
      <c r="V15" s="37"/>
    </row>
    <row r="16" spans="1:22" ht="48.75" customHeight="1" x14ac:dyDescent="0.25">
      <c r="B16" s="99" t="s">
        <v>48</v>
      </c>
      <c r="C16" s="99"/>
      <c r="D16" s="99"/>
      <c r="E16" s="2"/>
      <c r="F16" s="17">
        <v>4.4000000000000004</v>
      </c>
      <c r="G16" s="36"/>
      <c r="H16" s="35">
        <f t="shared" si="2"/>
        <v>0</v>
      </c>
      <c r="I16" s="83"/>
      <c r="O16" s="37"/>
      <c r="P16" s="37"/>
      <c r="Q16" s="37"/>
      <c r="R16" s="37"/>
      <c r="S16" s="37"/>
      <c r="T16" s="37"/>
      <c r="U16" s="37"/>
      <c r="V16" s="37"/>
    </row>
    <row r="17" spans="2:22" ht="48.75" customHeight="1" x14ac:dyDescent="0.25">
      <c r="B17" s="99" t="s">
        <v>12</v>
      </c>
      <c r="C17" s="99"/>
      <c r="D17" s="99"/>
      <c r="E17" s="2"/>
      <c r="F17" s="17">
        <v>2.36</v>
      </c>
      <c r="G17" s="36"/>
      <c r="H17" s="35">
        <f t="shared" si="2"/>
        <v>0</v>
      </c>
      <c r="I17" s="83"/>
      <c r="O17" s="37"/>
      <c r="P17" s="37"/>
      <c r="Q17" s="37"/>
      <c r="R17" s="37"/>
      <c r="S17" s="37"/>
      <c r="T17" s="37"/>
      <c r="U17" s="37"/>
      <c r="V17" s="37"/>
    </row>
    <row r="18" spans="2:22" ht="48.75" customHeight="1" x14ac:dyDescent="0.25">
      <c r="B18" s="99" t="s">
        <v>13</v>
      </c>
      <c r="C18" s="99"/>
      <c r="D18" s="99"/>
      <c r="E18" s="18"/>
      <c r="F18" s="17">
        <v>4.79</v>
      </c>
      <c r="G18" s="36"/>
      <c r="H18" s="35">
        <f t="shared" si="2"/>
        <v>0</v>
      </c>
      <c r="I18" s="83"/>
      <c r="O18" s="37"/>
      <c r="P18" s="37"/>
      <c r="Q18" s="37"/>
      <c r="R18" s="37"/>
      <c r="S18" s="37"/>
      <c r="T18" s="37"/>
      <c r="U18" s="37"/>
      <c r="V18" s="37"/>
    </row>
    <row r="19" spans="2:22" ht="48.75" customHeight="1" x14ac:dyDescent="0.25">
      <c r="B19" s="99" t="s">
        <v>14</v>
      </c>
      <c r="C19" s="99"/>
      <c r="D19" s="99"/>
      <c r="E19" s="18"/>
      <c r="F19" s="17">
        <v>13.72</v>
      </c>
      <c r="G19" s="36"/>
      <c r="H19" s="35">
        <f t="shared" si="2"/>
        <v>0</v>
      </c>
      <c r="I19" s="83"/>
      <c r="O19" s="37"/>
      <c r="P19" s="37"/>
      <c r="Q19" s="37"/>
      <c r="R19" s="37"/>
      <c r="S19" s="37"/>
      <c r="T19" s="37"/>
      <c r="U19" s="37"/>
      <c r="V19" s="37"/>
    </row>
    <row r="20" spans="2:22" ht="48.75" customHeight="1" x14ac:dyDescent="0.25">
      <c r="B20" s="84" t="s">
        <v>49</v>
      </c>
      <c r="C20" s="85"/>
      <c r="D20" s="85"/>
      <c r="E20" s="2" t="s">
        <v>15</v>
      </c>
      <c r="F20" s="2">
        <v>2672.47</v>
      </c>
      <c r="G20" s="36"/>
      <c r="H20" s="35">
        <f t="shared" si="2"/>
        <v>0</v>
      </c>
      <c r="I20" s="83"/>
      <c r="O20" s="37"/>
      <c r="P20" s="37"/>
      <c r="Q20" s="37"/>
      <c r="R20" s="37"/>
      <c r="S20" s="37"/>
      <c r="T20" s="37"/>
      <c r="U20" s="37"/>
      <c r="V20" s="37"/>
    </row>
    <row r="21" spans="2:22" ht="48.75" customHeight="1" x14ac:dyDescent="0.25">
      <c r="B21" s="86"/>
      <c r="C21" s="87"/>
      <c r="D21" s="87"/>
      <c r="E21" s="2" t="s">
        <v>16</v>
      </c>
      <c r="F21" s="2">
        <v>3447.76</v>
      </c>
      <c r="G21" s="36"/>
      <c r="H21" s="35">
        <f t="shared" si="2"/>
        <v>0</v>
      </c>
      <c r="I21" s="83"/>
      <c r="O21" s="37"/>
      <c r="P21" s="37"/>
      <c r="Q21" s="37"/>
      <c r="R21" s="37"/>
      <c r="S21" s="37"/>
      <c r="T21" s="37"/>
      <c r="U21" s="37"/>
      <c r="V21" s="37"/>
    </row>
    <row r="22" spans="2:22" ht="48.75" customHeight="1" x14ac:dyDescent="0.25">
      <c r="B22" s="88"/>
      <c r="C22" s="89"/>
      <c r="D22" s="89"/>
      <c r="E22" s="2" t="s">
        <v>17</v>
      </c>
      <c r="F22" s="2">
        <v>6615.27</v>
      </c>
      <c r="G22" s="36"/>
      <c r="H22" s="35">
        <f t="shared" si="2"/>
        <v>0</v>
      </c>
      <c r="I22" s="83"/>
      <c r="O22" s="37"/>
      <c r="P22" s="37"/>
      <c r="Q22" s="37"/>
      <c r="R22" s="37"/>
      <c r="S22" s="37"/>
      <c r="T22" s="37"/>
      <c r="U22" s="37"/>
      <c r="V22" s="37"/>
    </row>
    <row r="23" spans="2:22" x14ac:dyDescent="0.25">
      <c r="B23" s="64" t="s">
        <v>18</v>
      </c>
      <c r="C23" s="65"/>
      <c r="D23" s="65"/>
      <c r="E23" s="66"/>
      <c r="F23" s="11">
        <f>I12+F10</f>
        <v>0</v>
      </c>
      <c r="O23" s="37"/>
      <c r="P23" s="37"/>
      <c r="Q23" s="37"/>
      <c r="R23" s="37"/>
      <c r="S23" s="37"/>
      <c r="T23" s="37"/>
      <c r="U23" s="37"/>
      <c r="V23" s="37"/>
    </row>
    <row r="24" spans="2:22" ht="16.5" customHeight="1" x14ac:dyDescent="0.25">
      <c r="B24" s="67" t="s">
        <v>19</v>
      </c>
      <c r="C24" s="68"/>
      <c r="D24" s="90"/>
      <c r="E24" s="1">
        <v>2024</v>
      </c>
      <c r="F24" s="42">
        <v>1.0740000000000001</v>
      </c>
      <c r="O24" s="37"/>
      <c r="P24" s="37"/>
      <c r="Q24" s="37"/>
      <c r="R24" s="37"/>
      <c r="S24" s="37"/>
      <c r="T24" s="37"/>
      <c r="U24" s="37"/>
      <c r="V24" s="37"/>
    </row>
    <row r="25" spans="2:22" x14ac:dyDescent="0.25">
      <c r="B25" s="69"/>
      <c r="C25" s="70"/>
      <c r="D25" s="91"/>
      <c r="E25" s="1">
        <v>2025</v>
      </c>
      <c r="F25" s="42">
        <v>1.0609999999999999</v>
      </c>
    </row>
    <row r="26" spans="2:22" x14ac:dyDescent="0.25">
      <c r="B26" s="69"/>
      <c r="C26" s="70"/>
      <c r="D26" s="91"/>
      <c r="E26" s="2">
        <v>2026</v>
      </c>
      <c r="F26" s="42">
        <v>1.0529999999999999</v>
      </c>
    </row>
    <row r="27" spans="2:22" x14ac:dyDescent="0.25">
      <c r="B27" s="69"/>
      <c r="C27" s="70"/>
      <c r="D27" s="91"/>
      <c r="E27" s="2">
        <v>2027</v>
      </c>
      <c r="F27" s="42">
        <v>1.0449999999999999</v>
      </c>
    </row>
    <row r="28" spans="2:22" x14ac:dyDescent="0.25">
      <c r="B28" s="69"/>
      <c r="C28" s="70"/>
      <c r="D28" s="91"/>
      <c r="E28" s="2">
        <v>2028</v>
      </c>
      <c r="F28" s="12">
        <v>1.0449999999999999</v>
      </c>
    </row>
    <row r="29" spans="2:22" x14ac:dyDescent="0.25">
      <c r="B29" s="69"/>
      <c r="C29" s="70"/>
      <c r="D29" s="91"/>
      <c r="E29" s="2">
        <v>2029</v>
      </c>
      <c r="F29" s="12">
        <v>1.0449999999999999</v>
      </c>
    </row>
    <row r="30" spans="2:22" x14ac:dyDescent="0.25">
      <c r="B30" s="71"/>
      <c r="C30" s="72"/>
      <c r="D30" s="92"/>
      <c r="E30" s="2">
        <v>2030</v>
      </c>
      <c r="F30" s="12">
        <v>1.0449999999999999</v>
      </c>
    </row>
    <row r="31" spans="2:22" x14ac:dyDescent="0.25">
      <c r="B31" s="64" t="s">
        <v>20</v>
      </c>
      <c r="C31" s="65"/>
      <c r="D31" s="65"/>
      <c r="E31" s="66"/>
      <c r="F31" s="11">
        <f>F23*F24*F25*F26</f>
        <v>0</v>
      </c>
    </row>
    <row r="32" spans="2:22" x14ac:dyDescent="0.25">
      <c r="B32" s="64" t="s">
        <v>21</v>
      </c>
      <c r="C32" s="65"/>
      <c r="D32" s="65"/>
      <c r="E32" s="66"/>
      <c r="F32" s="11">
        <f>F31*20%</f>
        <v>0</v>
      </c>
    </row>
    <row r="33" spans="2:6" x14ac:dyDescent="0.25">
      <c r="B33" s="64" t="s">
        <v>22</v>
      </c>
      <c r="C33" s="65"/>
      <c r="D33" s="65"/>
      <c r="E33" s="66"/>
      <c r="F33" s="11">
        <f>F31*1.2</f>
        <v>0</v>
      </c>
    </row>
    <row r="34" spans="2:6" x14ac:dyDescent="0.25">
      <c r="B34" s="26"/>
      <c r="C34" s="26"/>
      <c r="D34" s="26"/>
      <c r="E34" s="26"/>
      <c r="F34" s="27"/>
    </row>
    <row r="35" spans="2:6" x14ac:dyDescent="0.25">
      <c r="B35" s="26"/>
      <c r="C35" s="26"/>
      <c r="D35" s="26"/>
      <c r="E35" s="26"/>
      <c r="F35" s="27"/>
    </row>
    <row r="43" spans="2:6" x14ac:dyDescent="0.25">
      <c r="B43" t="s">
        <v>23</v>
      </c>
    </row>
  </sheetData>
  <mergeCells count="24">
    <mergeCell ref="B7:E7"/>
    <mergeCell ref="A1:I1"/>
    <mergeCell ref="F2:M2"/>
    <mergeCell ref="B4:E4"/>
    <mergeCell ref="B5:E5"/>
    <mergeCell ref="B6:E6"/>
    <mergeCell ref="B2:D3"/>
    <mergeCell ref="B8:E8"/>
    <mergeCell ref="B9:E9"/>
    <mergeCell ref="B10:E10"/>
    <mergeCell ref="F10:M10"/>
    <mergeCell ref="B16:D16"/>
    <mergeCell ref="B32:E32"/>
    <mergeCell ref="B33:E33"/>
    <mergeCell ref="I12:I22"/>
    <mergeCell ref="B20:D22"/>
    <mergeCell ref="B24:D30"/>
    <mergeCell ref="B12:D13"/>
    <mergeCell ref="B14:D15"/>
    <mergeCell ref="B17:D17"/>
    <mergeCell ref="B18:D18"/>
    <mergeCell ref="B19:D19"/>
    <mergeCell ref="B23:E23"/>
    <mergeCell ref="B31:E31"/>
  </mergeCells>
  <printOptions horizontalCentered="1"/>
  <pageMargins left="0" right="0" top="0.55118110236220497" bottom="0" header="0.31496062992126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5" sqref="G5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5*7</f>
        <v>35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219.1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P10</f>
        <v>5081.92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5301.02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2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1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6360.7375890068406</v>
      </c>
    </row>
    <row r="17" spans="3:7" x14ac:dyDescent="0.25">
      <c r="C17" s="64" t="s">
        <v>21</v>
      </c>
      <c r="D17" s="65"/>
      <c r="E17" s="65"/>
      <c r="F17" s="66"/>
      <c r="G17" s="53">
        <f>G16*20/100</f>
        <v>1272.1475178013682</v>
      </c>
    </row>
    <row r="18" spans="3:7" x14ac:dyDescent="0.25">
      <c r="C18" s="64" t="s">
        <v>22</v>
      </c>
      <c r="D18" s="65"/>
      <c r="E18" s="65"/>
      <c r="F18" s="66"/>
      <c r="G18" s="53">
        <f>G16+G17</f>
        <v>7632.8851068082085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B1:S31"/>
  <sheetViews>
    <sheetView topLeftCell="A13" workbookViewId="0">
      <selection activeCell="C20" sqref="C20:F30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1" max="11" width="8.42578125" customWidth="1"/>
    <col min="12" max="12" width="16.7109375" customWidth="1"/>
  </cols>
  <sheetData>
    <row r="1" spans="2:19" ht="45" customHeight="1" x14ac:dyDescent="0.25">
      <c r="B1" s="78" t="s">
        <v>51</v>
      </c>
      <c r="C1" s="78"/>
      <c r="D1" s="78"/>
      <c r="E1" s="78"/>
      <c r="F1" s="78"/>
      <c r="G1" s="78"/>
      <c r="H1" s="78"/>
      <c r="I1" s="78"/>
    </row>
    <row r="2" spans="2:19" x14ac:dyDescent="0.25">
      <c r="C2" s="3"/>
      <c r="D2" s="3"/>
      <c r="E2" s="3"/>
      <c r="F2" s="3"/>
      <c r="G2" s="3"/>
      <c r="H2" s="3"/>
      <c r="I2" s="3"/>
    </row>
    <row r="3" spans="2:19" ht="15.75" x14ac:dyDescent="0.25">
      <c r="C3" s="119" t="s">
        <v>0</v>
      </c>
      <c r="D3" s="120"/>
      <c r="E3" s="121"/>
      <c r="F3" s="2"/>
      <c r="G3" s="115"/>
      <c r="H3" s="116"/>
    </row>
    <row r="4" spans="2:19" ht="15.75" x14ac:dyDescent="0.25">
      <c r="C4" s="122"/>
      <c r="D4" s="111"/>
      <c r="E4" s="123"/>
      <c r="F4" s="5"/>
      <c r="G4" s="15" t="s">
        <v>27</v>
      </c>
      <c r="H4" s="16" t="s">
        <v>28</v>
      </c>
      <c r="K4" s="51" t="s">
        <v>63</v>
      </c>
    </row>
    <row r="5" spans="2:19" ht="57.75" customHeight="1" x14ac:dyDescent="0.25">
      <c r="C5" s="117" t="s">
        <v>54</v>
      </c>
      <c r="D5" s="117"/>
      <c r="E5" s="117"/>
      <c r="F5" s="2"/>
      <c r="G5" s="2">
        <v>1929.53</v>
      </c>
      <c r="H5" s="2">
        <v>3054.93</v>
      </c>
      <c r="K5" s="20" t="s">
        <v>29</v>
      </c>
      <c r="L5" s="20" t="s">
        <v>30</v>
      </c>
    </row>
    <row r="6" spans="2:19" ht="63" customHeight="1" x14ac:dyDescent="0.25">
      <c r="C6" s="118" t="s">
        <v>55</v>
      </c>
      <c r="D6" s="117"/>
      <c r="E6" s="117"/>
      <c r="F6" s="2"/>
      <c r="G6" s="17">
        <v>2.0499999999999998</v>
      </c>
      <c r="H6" s="17">
        <v>1.82</v>
      </c>
      <c r="K6" s="2">
        <v>35</v>
      </c>
      <c r="L6" s="2">
        <v>1487.23</v>
      </c>
    </row>
    <row r="7" spans="2:19" x14ac:dyDescent="0.25">
      <c r="C7" s="74" t="s">
        <v>31</v>
      </c>
      <c r="D7" s="75"/>
      <c r="E7" s="75"/>
      <c r="F7" s="76"/>
      <c r="G7" s="11">
        <f>G5*G6</f>
        <v>3955.5364999999997</v>
      </c>
      <c r="H7" s="11">
        <f>H5*H6</f>
        <v>5559.9726000000001</v>
      </c>
      <c r="K7" s="2">
        <v>50</v>
      </c>
      <c r="L7" s="2">
        <v>1502.12</v>
      </c>
    </row>
    <row r="8" spans="2:19" ht="63.75" customHeight="1" x14ac:dyDescent="0.25">
      <c r="C8" s="112" t="s">
        <v>61</v>
      </c>
      <c r="D8" s="77"/>
      <c r="E8" s="77"/>
      <c r="F8" s="2"/>
      <c r="G8" s="17">
        <v>1262.83</v>
      </c>
      <c r="H8" s="2">
        <v>1421.78</v>
      </c>
      <c r="K8" s="2">
        <v>70</v>
      </c>
      <c r="L8" s="2">
        <v>1529.52</v>
      </c>
      <c r="N8" s="114" t="s">
        <v>56</v>
      </c>
      <c r="O8" s="114"/>
      <c r="P8" s="114"/>
      <c r="Q8" s="114"/>
      <c r="R8" s="114"/>
      <c r="S8" s="2">
        <v>1.2</v>
      </c>
    </row>
    <row r="9" spans="2:19" ht="61.5" customHeight="1" x14ac:dyDescent="0.25">
      <c r="C9" s="124" t="s">
        <v>65</v>
      </c>
      <c r="D9" s="125"/>
      <c r="E9" s="125"/>
      <c r="F9" s="18"/>
      <c r="G9" s="19"/>
      <c r="H9" s="20"/>
      <c r="K9" s="2">
        <v>95</v>
      </c>
      <c r="L9" s="2">
        <v>1562.5</v>
      </c>
      <c r="N9" s="114" t="s">
        <v>57</v>
      </c>
      <c r="O9" s="114"/>
      <c r="P9" s="114"/>
      <c r="Q9" s="114"/>
      <c r="R9" s="114"/>
      <c r="S9" s="2">
        <v>1.5</v>
      </c>
    </row>
    <row r="10" spans="2:19" ht="46.5" customHeight="1" x14ac:dyDescent="0.25">
      <c r="C10" s="74" t="s">
        <v>31</v>
      </c>
      <c r="D10" s="75"/>
      <c r="E10" s="75"/>
      <c r="F10" s="76"/>
      <c r="G10" s="11">
        <f>G7+G8+G9</f>
        <v>5218.3665000000001</v>
      </c>
      <c r="H10" s="11">
        <f>H7+H8+H9</f>
        <v>6981.7525999999998</v>
      </c>
      <c r="N10" s="114" t="s">
        <v>58</v>
      </c>
      <c r="O10" s="114"/>
      <c r="P10" s="114"/>
      <c r="Q10" s="114"/>
      <c r="R10" s="114"/>
      <c r="S10" s="2">
        <v>2.99</v>
      </c>
    </row>
    <row r="11" spans="2:19" x14ac:dyDescent="0.25">
      <c r="C11" s="77" t="s">
        <v>32</v>
      </c>
      <c r="D11" s="77"/>
      <c r="E11" s="77"/>
      <c r="F11" s="2"/>
      <c r="G11" s="21">
        <v>0.88400000000000001</v>
      </c>
      <c r="H11" s="22"/>
    </row>
    <row r="12" spans="2:19" x14ac:dyDescent="0.25">
      <c r="C12" s="74" t="s">
        <v>31</v>
      </c>
      <c r="D12" s="75"/>
      <c r="E12" s="75"/>
      <c r="F12" s="76"/>
      <c r="G12" s="11">
        <f>G10*G11</f>
        <v>4613.0359859999999</v>
      </c>
      <c r="H12" s="11">
        <f>H10*H11</f>
        <v>0</v>
      </c>
    </row>
    <row r="13" spans="2:19" ht="22.5" customHeight="1" x14ac:dyDescent="0.25">
      <c r="C13" s="113" t="s">
        <v>64</v>
      </c>
      <c r="D13" s="81"/>
      <c r="E13" s="81"/>
      <c r="F13" s="18"/>
      <c r="G13" s="9"/>
      <c r="H13" s="9">
        <f>G13</f>
        <v>0</v>
      </c>
    </row>
    <row r="14" spans="2:19" ht="60.75" customHeight="1" x14ac:dyDescent="0.25">
      <c r="C14" s="112" t="s">
        <v>66</v>
      </c>
      <c r="D14" s="77"/>
      <c r="E14" s="77"/>
      <c r="F14" s="18"/>
      <c r="G14" s="17">
        <v>4.95</v>
      </c>
      <c r="H14" s="2">
        <v>4.95</v>
      </c>
    </row>
    <row r="15" spans="2:19" ht="63.75" customHeight="1" x14ac:dyDescent="0.25">
      <c r="C15" s="112" t="s">
        <v>67</v>
      </c>
      <c r="D15" s="77"/>
      <c r="E15" s="77"/>
      <c r="F15" s="18"/>
      <c r="G15" s="17">
        <v>12.24</v>
      </c>
      <c r="H15" s="2">
        <v>12.24</v>
      </c>
    </row>
    <row r="16" spans="2:19" ht="27.75" customHeight="1" x14ac:dyDescent="0.25">
      <c r="C16" s="74" t="s">
        <v>31</v>
      </c>
      <c r="D16" s="75"/>
      <c r="E16" s="75"/>
      <c r="F16" s="76"/>
      <c r="G16" s="11">
        <f>(G14+G15)*G13</f>
        <v>0</v>
      </c>
      <c r="H16" s="11">
        <f>(H14+H15)*H13</f>
        <v>0</v>
      </c>
    </row>
    <row r="17" spans="3:8" ht="47.25" customHeight="1" x14ac:dyDescent="0.25">
      <c r="C17" s="112" t="s">
        <v>68</v>
      </c>
      <c r="D17" s="77"/>
      <c r="E17" s="77"/>
      <c r="F17" s="18">
        <v>514.42999999999995</v>
      </c>
      <c r="G17" s="9"/>
      <c r="H17" s="2"/>
    </row>
    <row r="18" spans="3:8" ht="47.25" customHeight="1" x14ac:dyDescent="0.25">
      <c r="C18" s="112" t="s">
        <v>69</v>
      </c>
      <c r="D18" s="77"/>
      <c r="E18" s="77"/>
      <c r="F18" s="18">
        <v>11.91</v>
      </c>
      <c r="G18" s="9"/>
      <c r="H18" s="9">
        <f>5000*11.91/100</f>
        <v>595.5</v>
      </c>
    </row>
    <row r="19" spans="3:8" ht="27.75" customHeight="1" x14ac:dyDescent="0.25">
      <c r="C19" s="74" t="s">
        <v>31</v>
      </c>
      <c r="D19" s="75"/>
      <c r="E19" s="75"/>
      <c r="F19" s="76"/>
      <c r="G19" s="11">
        <f>G12+G16+G17+G18</f>
        <v>4613.0359859999999</v>
      </c>
      <c r="H19" s="11">
        <f>H12+H16+H17+H18</f>
        <v>595.5</v>
      </c>
    </row>
    <row r="20" spans="3:8" ht="15" customHeight="1" x14ac:dyDescent="0.25">
      <c r="C20" s="67" t="s">
        <v>19</v>
      </c>
      <c r="D20" s="68"/>
      <c r="E20" s="68"/>
      <c r="F20" s="1">
        <v>2024</v>
      </c>
      <c r="G20" s="42">
        <v>1.0740000000000001</v>
      </c>
      <c r="H20" s="12">
        <f>G20</f>
        <v>1.0740000000000001</v>
      </c>
    </row>
    <row r="21" spans="3:8" x14ac:dyDescent="0.25">
      <c r="C21" s="69"/>
      <c r="D21" s="70"/>
      <c r="E21" s="70"/>
      <c r="F21" s="1">
        <v>2025</v>
      </c>
      <c r="G21" s="42">
        <v>1.0609999999999999</v>
      </c>
      <c r="H21" s="12">
        <f t="shared" ref="H21:H26" si="0">G21</f>
        <v>1.0609999999999999</v>
      </c>
    </row>
    <row r="22" spans="3:8" x14ac:dyDescent="0.25">
      <c r="C22" s="69"/>
      <c r="D22" s="70"/>
      <c r="E22" s="70"/>
      <c r="F22" s="2">
        <v>2026</v>
      </c>
      <c r="G22" s="42">
        <v>1.0529999999999999</v>
      </c>
      <c r="H22" s="12">
        <f t="shared" si="0"/>
        <v>1.0529999999999999</v>
      </c>
    </row>
    <row r="23" spans="3:8" x14ac:dyDescent="0.25">
      <c r="C23" s="69"/>
      <c r="D23" s="70"/>
      <c r="E23" s="70"/>
      <c r="F23" s="2">
        <v>2027</v>
      </c>
      <c r="G23" s="42">
        <v>1.0449999999999999</v>
      </c>
      <c r="H23" s="12">
        <f t="shared" si="0"/>
        <v>1.0449999999999999</v>
      </c>
    </row>
    <row r="24" spans="3:8" x14ac:dyDescent="0.25">
      <c r="C24" s="69"/>
      <c r="D24" s="70"/>
      <c r="E24" s="70"/>
      <c r="F24" s="2">
        <v>2028</v>
      </c>
      <c r="G24" s="12">
        <v>1.0449999999999999</v>
      </c>
      <c r="H24" s="12">
        <f t="shared" si="0"/>
        <v>1.0449999999999999</v>
      </c>
    </row>
    <row r="25" spans="3:8" x14ac:dyDescent="0.25">
      <c r="C25" s="69"/>
      <c r="D25" s="70"/>
      <c r="E25" s="70"/>
      <c r="F25" s="2">
        <v>2029</v>
      </c>
      <c r="G25" s="12">
        <v>1.0449999999999999</v>
      </c>
      <c r="H25" s="12">
        <f t="shared" si="0"/>
        <v>1.0449999999999999</v>
      </c>
    </row>
    <row r="26" spans="3:8" x14ac:dyDescent="0.25">
      <c r="C26" s="71"/>
      <c r="D26" s="72"/>
      <c r="E26" s="72"/>
      <c r="F26" s="2">
        <v>2030</v>
      </c>
      <c r="G26" s="12">
        <v>1.0449999999999999</v>
      </c>
      <c r="H26" s="12">
        <f t="shared" si="0"/>
        <v>1.0449999999999999</v>
      </c>
    </row>
    <row r="27" spans="3:8" x14ac:dyDescent="0.25">
      <c r="C27" s="64" t="s">
        <v>20</v>
      </c>
      <c r="D27" s="65"/>
      <c r="E27" s="65"/>
      <c r="F27" s="66"/>
      <c r="G27" s="24">
        <f>G19*G20*G21*G22*G23</f>
        <v>5784.3047957549761</v>
      </c>
      <c r="H27" s="9">
        <f>H19*H20*H21*H22</f>
        <v>714.54535811099993</v>
      </c>
    </row>
    <row r="28" spans="3:8" x14ac:dyDescent="0.25">
      <c r="C28" s="64" t="s">
        <v>21</v>
      </c>
      <c r="D28" s="65"/>
      <c r="E28" s="65"/>
      <c r="F28" s="66"/>
      <c r="G28" s="12">
        <f>G29-G27</f>
        <v>1156.8609591509949</v>
      </c>
      <c r="H28" s="9">
        <f>H27*20/100</f>
        <v>142.9090716222</v>
      </c>
    </row>
    <row r="29" spans="3:8" x14ac:dyDescent="0.25">
      <c r="C29" s="64" t="s">
        <v>34</v>
      </c>
      <c r="D29" s="65"/>
      <c r="E29" s="65"/>
      <c r="F29" s="66"/>
      <c r="G29" s="25">
        <f>G27*1.2</f>
        <v>6941.165754905971</v>
      </c>
      <c r="H29" s="9">
        <f>H27+H28</f>
        <v>857.45442973319996</v>
      </c>
    </row>
    <row r="30" spans="3:8" x14ac:dyDescent="0.25">
      <c r="C30" s="26"/>
      <c r="D30" s="26"/>
      <c r="E30" s="26"/>
      <c r="F30" s="26"/>
      <c r="G30" s="27"/>
    </row>
    <row r="31" spans="3:8" x14ac:dyDescent="0.25">
      <c r="C31" t="s">
        <v>23</v>
      </c>
      <c r="D31" s="26"/>
      <c r="E31" s="26"/>
      <c r="F31" s="26"/>
      <c r="G31" s="27"/>
    </row>
  </sheetData>
  <mergeCells count="25">
    <mergeCell ref="N8:R8"/>
    <mergeCell ref="N9:R9"/>
    <mergeCell ref="N10:R10"/>
    <mergeCell ref="B1:I1"/>
    <mergeCell ref="G3:H3"/>
    <mergeCell ref="C5:E5"/>
    <mergeCell ref="C6:E6"/>
    <mergeCell ref="C7:F7"/>
    <mergeCell ref="C3:E4"/>
    <mergeCell ref="C8:E8"/>
    <mergeCell ref="C9:E9"/>
    <mergeCell ref="C10:F10"/>
    <mergeCell ref="C11:E11"/>
    <mergeCell ref="C12:F12"/>
    <mergeCell ref="C13:E13"/>
    <mergeCell ref="C14:E14"/>
    <mergeCell ref="C15:E15"/>
    <mergeCell ref="C28:F28"/>
    <mergeCell ref="C29:F29"/>
    <mergeCell ref="C20:E26"/>
    <mergeCell ref="C16:F16"/>
    <mergeCell ref="C17:E17"/>
    <mergeCell ref="C18:E18"/>
    <mergeCell ref="C19:F19"/>
    <mergeCell ref="C27:F27"/>
  </mergeCells>
  <printOptions horizontalCentered="1"/>
  <pageMargins left="0" right="0" top="0.55118110236220497" bottom="0" header="0.31496062992126" footer="0.31496062992126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1"/>
  <sheetViews>
    <sheetView workbookViewId="0">
      <selection activeCell="C20" sqref="C20:F30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</cols>
  <sheetData>
    <row r="1" spans="2:21" x14ac:dyDescent="0.25">
      <c r="B1" s="78" t="s">
        <v>52</v>
      </c>
      <c r="C1" s="78"/>
      <c r="D1" s="78"/>
      <c r="E1" s="78"/>
      <c r="F1" s="78"/>
      <c r="G1" s="78"/>
      <c r="H1" s="78"/>
      <c r="I1" s="78"/>
    </row>
    <row r="2" spans="2:21" x14ac:dyDescent="0.25">
      <c r="C2" s="3"/>
      <c r="D2" s="3"/>
      <c r="E2" s="3"/>
      <c r="F2" s="3"/>
      <c r="G2" s="3"/>
      <c r="H2" s="3"/>
      <c r="I2" s="3"/>
    </row>
    <row r="3" spans="2:21" ht="15.75" x14ac:dyDescent="0.25">
      <c r="C3" s="119" t="s">
        <v>0</v>
      </c>
      <c r="D3" s="120"/>
      <c r="E3" s="121"/>
      <c r="F3" s="2"/>
      <c r="G3" s="115"/>
      <c r="H3" s="116"/>
    </row>
    <row r="4" spans="2:21" ht="15.75" x14ac:dyDescent="0.25">
      <c r="C4" s="122"/>
      <c r="D4" s="111"/>
      <c r="E4" s="123"/>
      <c r="F4" s="5"/>
      <c r="G4" s="15" t="s">
        <v>27</v>
      </c>
      <c r="H4" s="16" t="s">
        <v>28</v>
      </c>
      <c r="L4" s="51" t="s">
        <v>63</v>
      </c>
    </row>
    <row r="5" spans="2:21" ht="46.5" customHeight="1" x14ac:dyDescent="0.25">
      <c r="C5" s="118" t="s">
        <v>53</v>
      </c>
      <c r="D5" s="117"/>
      <c r="E5" s="117"/>
      <c r="F5" s="2"/>
      <c r="G5" s="2">
        <v>963.68</v>
      </c>
      <c r="H5" s="2">
        <v>1526.73</v>
      </c>
      <c r="L5" s="20" t="s">
        <v>29</v>
      </c>
      <c r="M5" s="20" t="s">
        <v>35</v>
      </c>
    </row>
    <row r="6" spans="2:21" ht="59.25" customHeight="1" x14ac:dyDescent="0.25">
      <c r="C6" s="118" t="s">
        <v>55</v>
      </c>
      <c r="D6" s="117"/>
      <c r="E6" s="117"/>
      <c r="F6" s="2"/>
      <c r="G6" s="17">
        <v>2.17</v>
      </c>
      <c r="H6" s="17">
        <v>1.9</v>
      </c>
      <c r="L6" s="2">
        <v>16</v>
      </c>
      <c r="M6" s="2">
        <v>405.81</v>
      </c>
      <c r="P6" s="51" t="s">
        <v>60</v>
      </c>
    </row>
    <row r="7" spans="2:21" x14ac:dyDescent="0.25">
      <c r="C7" s="74" t="s">
        <v>31</v>
      </c>
      <c r="D7" s="75"/>
      <c r="E7" s="75"/>
      <c r="F7" s="76"/>
      <c r="G7" s="11">
        <f>G5*G6</f>
        <v>2091.1855999999998</v>
      </c>
      <c r="H7" s="11">
        <f>H5*H6</f>
        <v>2900.7869999999998</v>
      </c>
      <c r="L7" s="2">
        <v>25</v>
      </c>
      <c r="M7" s="2">
        <v>446.04</v>
      </c>
      <c r="P7" s="52" t="s">
        <v>59</v>
      </c>
    </row>
    <row r="8" spans="2:21" ht="63" customHeight="1" x14ac:dyDescent="0.25">
      <c r="C8" s="112" t="s">
        <v>61</v>
      </c>
      <c r="D8" s="77"/>
      <c r="E8" s="77"/>
      <c r="F8" s="2"/>
      <c r="G8" s="17">
        <v>949.02</v>
      </c>
      <c r="H8" s="2">
        <v>1214.6400000000001</v>
      </c>
      <c r="L8" s="2">
        <v>35</v>
      </c>
      <c r="M8" s="2">
        <v>485.12</v>
      </c>
      <c r="P8" s="114" t="s">
        <v>56</v>
      </c>
      <c r="Q8" s="114"/>
      <c r="R8" s="114"/>
      <c r="S8" s="114"/>
      <c r="T8" s="114"/>
      <c r="U8" s="2">
        <v>1.2</v>
      </c>
    </row>
    <row r="9" spans="2:21" ht="48" customHeight="1" x14ac:dyDescent="0.25">
      <c r="C9" s="124" t="s">
        <v>62</v>
      </c>
      <c r="D9" s="125"/>
      <c r="E9" s="125"/>
      <c r="F9" s="18"/>
      <c r="G9" s="19">
        <v>219</v>
      </c>
      <c r="H9" s="20"/>
      <c r="L9" s="2">
        <v>50</v>
      </c>
      <c r="M9" s="2">
        <v>547.16</v>
      </c>
      <c r="P9" s="114" t="s">
        <v>57</v>
      </c>
      <c r="Q9" s="114"/>
      <c r="R9" s="114"/>
      <c r="S9" s="114"/>
      <c r="T9" s="114"/>
      <c r="U9" s="2">
        <v>1.5</v>
      </c>
    </row>
    <row r="10" spans="2:21" ht="49.5" customHeight="1" x14ac:dyDescent="0.25">
      <c r="C10" s="74" t="s">
        <v>31</v>
      </c>
      <c r="D10" s="75"/>
      <c r="E10" s="75"/>
      <c r="F10" s="76"/>
      <c r="G10" s="11">
        <f>G7+G8+G9</f>
        <v>3259.2055999999998</v>
      </c>
      <c r="H10" s="11">
        <f>H7+H8+H9</f>
        <v>4115.4269999999997</v>
      </c>
      <c r="L10" s="14">
        <v>70</v>
      </c>
      <c r="M10" s="14">
        <v>652.30999999999995</v>
      </c>
      <c r="P10" s="114" t="s">
        <v>58</v>
      </c>
      <c r="Q10" s="114"/>
      <c r="R10" s="114"/>
      <c r="S10" s="114"/>
      <c r="T10" s="114"/>
      <c r="U10" s="2">
        <v>2.99</v>
      </c>
    </row>
    <row r="11" spans="2:21" x14ac:dyDescent="0.25">
      <c r="C11" s="77" t="s">
        <v>32</v>
      </c>
      <c r="D11" s="77"/>
      <c r="E11" s="77"/>
      <c r="F11" s="2"/>
      <c r="G11" s="21">
        <v>0.747</v>
      </c>
      <c r="H11" s="22"/>
      <c r="L11" s="14">
        <v>95</v>
      </c>
      <c r="M11" s="14">
        <v>761.97</v>
      </c>
    </row>
    <row r="12" spans="2:21" x14ac:dyDescent="0.25">
      <c r="C12" s="74" t="s">
        <v>31</v>
      </c>
      <c r="D12" s="75"/>
      <c r="E12" s="75"/>
      <c r="F12" s="76"/>
      <c r="G12" s="11">
        <f>G10*G11</f>
        <v>2434.6265831999999</v>
      </c>
      <c r="H12" s="11">
        <f>H10*H11</f>
        <v>0</v>
      </c>
    </row>
    <row r="13" spans="2:21" ht="18.75" customHeight="1" x14ac:dyDescent="0.25">
      <c r="C13" s="80" t="s">
        <v>33</v>
      </c>
      <c r="D13" s="81"/>
      <c r="E13" s="81"/>
      <c r="F13" s="18"/>
      <c r="G13" s="9"/>
      <c r="H13" s="9">
        <f>G13</f>
        <v>0</v>
      </c>
    </row>
    <row r="14" spans="2:21" ht="69" customHeight="1" x14ac:dyDescent="0.25">
      <c r="C14" s="112" t="s">
        <v>66</v>
      </c>
      <c r="D14" s="77"/>
      <c r="E14" s="77"/>
      <c r="F14" s="18"/>
      <c r="G14" s="17">
        <v>4.95</v>
      </c>
      <c r="H14" s="2">
        <v>4.95</v>
      </c>
    </row>
    <row r="15" spans="2:21" ht="65.25" customHeight="1" x14ac:dyDescent="0.25">
      <c r="C15" s="112" t="s">
        <v>67</v>
      </c>
      <c r="D15" s="77"/>
      <c r="E15" s="77"/>
      <c r="F15" s="18"/>
      <c r="G15" s="17">
        <v>5.72</v>
      </c>
      <c r="H15" s="2">
        <v>5.72</v>
      </c>
    </row>
    <row r="16" spans="2:21" x14ac:dyDescent="0.25">
      <c r="C16" s="74" t="s">
        <v>31</v>
      </c>
      <c r="D16" s="75"/>
      <c r="E16" s="75"/>
      <c r="F16" s="76"/>
      <c r="G16" s="23">
        <f>(G14+G15)*21</f>
        <v>224.07</v>
      </c>
      <c r="H16" s="11">
        <f>(H14+H15)*H13</f>
        <v>0</v>
      </c>
    </row>
    <row r="17" spans="3:8" ht="51.75" customHeight="1" x14ac:dyDescent="0.25">
      <c r="C17" s="112" t="s">
        <v>68</v>
      </c>
      <c r="D17" s="77"/>
      <c r="E17" s="77"/>
      <c r="F17" s="18">
        <v>514.42999999999995</v>
      </c>
      <c r="G17" s="9"/>
      <c r="H17" s="2"/>
    </row>
    <row r="18" spans="3:8" ht="44.25" customHeight="1" x14ac:dyDescent="0.25">
      <c r="C18" s="112" t="s">
        <v>69</v>
      </c>
      <c r="D18" s="77"/>
      <c r="E18" s="77"/>
      <c r="F18" s="18">
        <v>11.91</v>
      </c>
      <c r="G18" s="9"/>
      <c r="H18" s="9">
        <f>5000*6.9/100</f>
        <v>345</v>
      </c>
    </row>
    <row r="19" spans="3:8" x14ac:dyDescent="0.25">
      <c r="C19" s="74" t="s">
        <v>31</v>
      </c>
      <c r="D19" s="75"/>
      <c r="E19" s="75"/>
      <c r="F19" s="76"/>
      <c r="G19" s="11">
        <f>G12+G16+G17+G18</f>
        <v>2658.6965832000001</v>
      </c>
      <c r="H19" s="11">
        <f>H12+H16+H17+H18</f>
        <v>345</v>
      </c>
    </row>
    <row r="20" spans="3:8" ht="15" customHeight="1" x14ac:dyDescent="0.25">
      <c r="C20" s="67" t="s">
        <v>19</v>
      </c>
      <c r="D20" s="68"/>
      <c r="E20" s="68"/>
      <c r="F20" s="1">
        <v>2024</v>
      </c>
      <c r="G20" s="42">
        <v>1.0740000000000001</v>
      </c>
      <c r="H20" s="12">
        <f>G20</f>
        <v>1.0740000000000001</v>
      </c>
    </row>
    <row r="21" spans="3:8" x14ac:dyDescent="0.25">
      <c r="C21" s="69"/>
      <c r="D21" s="70"/>
      <c r="E21" s="70"/>
      <c r="F21" s="1">
        <v>2025</v>
      </c>
      <c r="G21" s="42">
        <v>1.0609999999999999</v>
      </c>
      <c r="H21" s="12">
        <f t="shared" ref="H21:H26" si="0">G21</f>
        <v>1.0609999999999999</v>
      </c>
    </row>
    <row r="22" spans="3:8" x14ac:dyDescent="0.25">
      <c r="C22" s="69"/>
      <c r="D22" s="70"/>
      <c r="E22" s="70"/>
      <c r="F22" s="2">
        <v>2026</v>
      </c>
      <c r="G22" s="42">
        <v>1.0529999999999999</v>
      </c>
      <c r="H22" s="12">
        <f t="shared" si="0"/>
        <v>1.0529999999999999</v>
      </c>
    </row>
    <row r="23" spans="3:8" x14ac:dyDescent="0.25">
      <c r="C23" s="69"/>
      <c r="D23" s="70"/>
      <c r="E23" s="70"/>
      <c r="F23" s="2">
        <v>2027</v>
      </c>
      <c r="G23" s="42">
        <v>1.0449999999999999</v>
      </c>
      <c r="H23" s="12">
        <f t="shared" si="0"/>
        <v>1.0449999999999999</v>
      </c>
    </row>
    <row r="24" spans="3:8" x14ac:dyDescent="0.25">
      <c r="C24" s="69"/>
      <c r="D24" s="70"/>
      <c r="E24" s="70"/>
      <c r="F24" s="2">
        <v>2028</v>
      </c>
      <c r="G24" s="12">
        <v>1.0449999999999999</v>
      </c>
      <c r="H24" s="12">
        <f t="shared" si="0"/>
        <v>1.0449999999999999</v>
      </c>
    </row>
    <row r="25" spans="3:8" x14ac:dyDescent="0.25">
      <c r="C25" s="69"/>
      <c r="D25" s="70"/>
      <c r="E25" s="70"/>
      <c r="F25" s="2">
        <v>2029</v>
      </c>
      <c r="G25" s="12">
        <v>1.0449999999999999</v>
      </c>
      <c r="H25" s="12">
        <f t="shared" si="0"/>
        <v>1.0449999999999999</v>
      </c>
    </row>
    <row r="26" spans="3:8" x14ac:dyDescent="0.25">
      <c r="C26" s="71"/>
      <c r="D26" s="72"/>
      <c r="E26" s="72"/>
      <c r="F26" s="2">
        <v>2030</v>
      </c>
      <c r="G26" s="12">
        <v>1.0449999999999999</v>
      </c>
      <c r="H26" s="12">
        <f t="shared" si="0"/>
        <v>1.0449999999999999</v>
      </c>
    </row>
    <row r="27" spans="3:8" x14ac:dyDescent="0.25">
      <c r="C27" s="64" t="s">
        <v>20</v>
      </c>
      <c r="D27" s="65"/>
      <c r="E27" s="65"/>
      <c r="F27" s="66"/>
      <c r="G27" s="24">
        <f>G19*G20*G21*G22*G23*G24</f>
        <v>3483.7693567281176</v>
      </c>
      <c r="H27" s="9">
        <f>H19*H20*H21*H22</f>
        <v>413.96834349</v>
      </c>
    </row>
    <row r="28" spans="3:8" x14ac:dyDescent="0.25">
      <c r="C28" s="64" t="s">
        <v>21</v>
      </c>
      <c r="D28" s="65"/>
      <c r="E28" s="65"/>
      <c r="F28" s="66"/>
      <c r="G28" s="12">
        <f>G29-G27</f>
        <v>696.75387134562334</v>
      </c>
      <c r="H28" s="9">
        <f>H27*20/100</f>
        <v>82.793668698000005</v>
      </c>
    </row>
    <row r="29" spans="3:8" x14ac:dyDescent="0.25">
      <c r="C29" s="64" t="s">
        <v>22</v>
      </c>
      <c r="D29" s="65"/>
      <c r="E29" s="65"/>
      <c r="F29" s="66"/>
      <c r="G29" s="25">
        <f>G27*1.2</f>
        <v>4180.5232280737409</v>
      </c>
      <c r="H29" s="9">
        <f>H27+H28</f>
        <v>496.76201218799997</v>
      </c>
    </row>
    <row r="30" spans="3:8" x14ac:dyDescent="0.25">
      <c r="C30" s="26"/>
      <c r="D30" s="26"/>
      <c r="E30" s="26"/>
      <c r="F30" s="26"/>
      <c r="G30" s="27"/>
    </row>
    <row r="31" spans="3:8" x14ac:dyDescent="0.25">
      <c r="C31" t="s">
        <v>23</v>
      </c>
      <c r="D31" s="26"/>
      <c r="E31" s="26"/>
      <c r="F31" s="26"/>
      <c r="G31" s="27"/>
    </row>
  </sheetData>
  <mergeCells count="25">
    <mergeCell ref="C20:E26"/>
    <mergeCell ref="C27:F27"/>
    <mergeCell ref="C28:F28"/>
    <mergeCell ref="C29:F29"/>
    <mergeCell ref="P8:T8"/>
    <mergeCell ref="P9:T9"/>
    <mergeCell ref="P10:T10"/>
    <mergeCell ref="C14:E14"/>
    <mergeCell ref="C15:E15"/>
    <mergeCell ref="C16:F16"/>
    <mergeCell ref="C17:E17"/>
    <mergeCell ref="C18:E18"/>
    <mergeCell ref="C19:F19"/>
    <mergeCell ref="C8:E8"/>
    <mergeCell ref="C9:E9"/>
    <mergeCell ref="C10:F10"/>
    <mergeCell ref="C11:E11"/>
    <mergeCell ref="C12:F12"/>
    <mergeCell ref="C13:E13"/>
    <mergeCell ref="B1:I1"/>
    <mergeCell ref="C3:E4"/>
    <mergeCell ref="G3:H3"/>
    <mergeCell ref="C5:E5"/>
    <mergeCell ref="C6:E6"/>
    <mergeCell ref="C7:F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B1:W28"/>
  <sheetViews>
    <sheetView tabSelected="1" workbookViewId="0">
      <selection activeCell="J18" sqref="J18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9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103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61"/>
    </row>
    <row r="4" spans="2:23" ht="57.75" customHeight="1" x14ac:dyDescent="0.25">
      <c r="C4" s="77" t="s">
        <v>46</v>
      </c>
      <c r="D4" s="77"/>
      <c r="E4" s="77"/>
      <c r="F4" s="2"/>
      <c r="G4" s="2">
        <f>6.26</f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50</f>
        <v>50</v>
      </c>
      <c r="N5" s="2"/>
      <c r="O5" s="73" t="s">
        <v>41</v>
      </c>
      <c r="P5" s="73"/>
      <c r="R5" s="2"/>
      <c r="S5" s="60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313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(G7+G6)*2</f>
        <v>3303.26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2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4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62" t="s">
        <v>47</v>
      </c>
      <c r="U13" s="14">
        <v>1250</v>
      </c>
      <c r="V13" s="2">
        <v>10778.56</v>
      </c>
      <c r="W13" s="62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62" t="s">
        <v>47</v>
      </c>
      <c r="U14" s="14">
        <v>1600</v>
      </c>
      <c r="V14" s="2">
        <v>13553.04</v>
      </c>
      <c r="W14" s="62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</f>
        <v>3764.11101564</v>
      </c>
    </row>
    <row r="17" spans="3:7" x14ac:dyDescent="0.25">
      <c r="C17" s="64" t="s">
        <v>21</v>
      </c>
      <c r="D17" s="65"/>
      <c r="E17" s="65"/>
      <c r="F17" s="66"/>
      <c r="G17" s="53">
        <f>G16*20/100</f>
        <v>752.82220312799996</v>
      </c>
    </row>
    <row r="18" spans="3:7" x14ac:dyDescent="0.25">
      <c r="C18" s="64" t="s">
        <v>22</v>
      </c>
      <c r="D18" s="65"/>
      <c r="E18" s="65"/>
      <c r="F18" s="66"/>
      <c r="G18" s="53">
        <f>G16+G17</f>
        <v>4516.9332187680002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J23" sqref="J22:J23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5" sqref="G5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G17" sqref="G17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O10</f>
        <v>1786.74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1843.08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2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1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2211.5268826653601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442.30537653307198</v>
      </c>
    </row>
    <row r="18" spans="3:7" x14ac:dyDescent="0.25">
      <c r="C18" s="64" t="s">
        <v>22</v>
      </c>
      <c r="D18" s="65"/>
      <c r="E18" s="65"/>
      <c r="F18" s="66"/>
      <c r="G18" s="53">
        <f>G16+G17</f>
        <v>2653.832259198432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sqref="A1:XFD1048576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I22" sqref="I22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L23" sqref="L23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workbookViewId="0">
      <selection activeCell="N20" sqref="N20"/>
    </sheetView>
  </sheetViews>
  <sheetFormatPr defaultColWidth="9" defaultRowHeight="15" x14ac:dyDescent="0.25"/>
  <cols>
    <col min="1" max="1" width="2.140625" customWidth="1"/>
    <col min="2" max="2" width="9.140625" customWidth="1"/>
    <col min="3" max="3" width="23.5703125" customWidth="1"/>
    <col min="4" max="4" width="9.140625" customWidth="1"/>
    <col min="6" max="6" width="9.140625" customWidth="1"/>
    <col min="14" max="14" width="12.140625" customWidth="1"/>
    <col min="18" max="18" width="11.5703125" customWidth="1"/>
    <col min="21" max="21" width="12.42578125" customWidth="1"/>
  </cols>
  <sheetData>
    <row r="1" spans="2:23" ht="33.75" customHeight="1" x14ac:dyDescent="0.25">
      <c r="B1" s="78" t="s">
        <v>36</v>
      </c>
      <c r="C1" s="78"/>
      <c r="D1" s="78"/>
      <c r="E1" s="78"/>
      <c r="F1" s="78"/>
      <c r="G1" s="78"/>
      <c r="H1" s="78"/>
      <c r="I1" s="78"/>
      <c r="J1" s="78"/>
    </row>
    <row r="2" spans="2:23" x14ac:dyDescent="0.25">
      <c r="C2" s="3"/>
      <c r="D2" s="3"/>
      <c r="E2" s="3"/>
      <c r="F2" s="3"/>
      <c r="G2" s="3"/>
      <c r="H2" s="3"/>
      <c r="I2" s="3"/>
    </row>
    <row r="3" spans="2:23" ht="15.75" x14ac:dyDescent="0.25">
      <c r="C3" s="79" t="s">
        <v>0</v>
      </c>
      <c r="D3" s="79"/>
      <c r="E3" s="79"/>
      <c r="F3" s="5"/>
      <c r="G3" s="47"/>
    </row>
    <row r="4" spans="2:23" ht="57.75" customHeight="1" x14ac:dyDescent="0.25">
      <c r="C4" s="77" t="s">
        <v>46</v>
      </c>
      <c r="D4" s="77"/>
      <c r="E4" s="77"/>
      <c r="F4" s="2"/>
      <c r="G4" s="2">
        <v>6.26</v>
      </c>
      <c r="N4" t="s">
        <v>37</v>
      </c>
      <c r="R4" t="s">
        <v>38</v>
      </c>
      <c r="U4" t="s">
        <v>39</v>
      </c>
    </row>
    <row r="5" spans="2:23" ht="21.75" customHeight="1" x14ac:dyDescent="0.25">
      <c r="C5" s="80" t="s">
        <v>40</v>
      </c>
      <c r="D5" s="81"/>
      <c r="E5" s="82"/>
      <c r="F5" s="2"/>
      <c r="G5" s="2">
        <f>3*3</f>
        <v>9</v>
      </c>
      <c r="N5" s="2"/>
      <c r="O5" s="73" t="s">
        <v>41</v>
      </c>
      <c r="P5" s="73"/>
      <c r="R5" s="2"/>
      <c r="S5" s="46"/>
      <c r="U5" s="2"/>
      <c r="V5" s="73" t="s">
        <v>41</v>
      </c>
      <c r="W5" s="73"/>
    </row>
    <row r="6" spans="2:23" x14ac:dyDescent="0.25">
      <c r="C6" s="74" t="s">
        <v>18</v>
      </c>
      <c r="D6" s="75"/>
      <c r="E6" s="75"/>
      <c r="F6" s="76"/>
      <c r="G6" s="17">
        <f>G4*G5</f>
        <v>56.339999999999996</v>
      </c>
      <c r="N6" s="10" t="s">
        <v>42</v>
      </c>
      <c r="O6" s="10">
        <v>1</v>
      </c>
      <c r="P6" s="10">
        <v>2</v>
      </c>
      <c r="R6" s="10" t="s">
        <v>42</v>
      </c>
      <c r="S6" s="10" t="s">
        <v>43</v>
      </c>
      <c r="U6" s="10" t="s">
        <v>42</v>
      </c>
      <c r="V6" s="10">
        <v>1</v>
      </c>
      <c r="W6" s="10">
        <v>2</v>
      </c>
    </row>
    <row r="7" spans="2:23" ht="47.25" customHeight="1" x14ac:dyDescent="0.25">
      <c r="C7" s="77" t="s">
        <v>45</v>
      </c>
      <c r="D7" s="77"/>
      <c r="E7" s="77"/>
      <c r="F7" s="2"/>
      <c r="G7" s="10">
        <f>O9</f>
        <v>1338.63</v>
      </c>
      <c r="N7" s="2">
        <v>100</v>
      </c>
      <c r="O7" s="2">
        <v>1204.3800000000001</v>
      </c>
      <c r="P7" s="2">
        <v>3280.33</v>
      </c>
      <c r="R7" s="2">
        <v>63</v>
      </c>
      <c r="S7" s="2">
        <v>1049.95</v>
      </c>
      <c r="U7" s="2">
        <v>100</v>
      </c>
      <c r="V7" s="2">
        <v>6552.21</v>
      </c>
      <c r="W7" s="2">
        <v>10104.57</v>
      </c>
    </row>
    <row r="8" spans="2:23" ht="30.75" customHeight="1" x14ac:dyDescent="0.25">
      <c r="C8" s="64" t="s">
        <v>18</v>
      </c>
      <c r="D8" s="65"/>
      <c r="E8" s="65"/>
      <c r="F8" s="66"/>
      <c r="G8" s="53">
        <f>G7+G6</f>
        <v>1394.97</v>
      </c>
      <c r="N8" s="2">
        <v>160</v>
      </c>
      <c r="O8" s="2">
        <v>1288.9100000000001</v>
      </c>
      <c r="P8" s="2">
        <v>3449.39</v>
      </c>
      <c r="R8" s="2">
        <v>100</v>
      </c>
      <c r="S8" s="2">
        <v>1244.21</v>
      </c>
      <c r="U8" s="2">
        <v>160</v>
      </c>
      <c r="V8" s="2">
        <v>8143.31</v>
      </c>
      <c r="W8" s="2">
        <v>12450.41</v>
      </c>
    </row>
    <row r="9" spans="2:23" ht="30.75" customHeight="1" x14ac:dyDescent="0.25">
      <c r="C9" s="67" t="s">
        <v>19</v>
      </c>
      <c r="D9" s="68"/>
      <c r="E9" s="68"/>
      <c r="F9" s="1">
        <v>2024</v>
      </c>
      <c r="G9" s="42">
        <v>1.0740000000000001</v>
      </c>
      <c r="N9" s="2">
        <v>250</v>
      </c>
      <c r="O9" s="1">
        <v>1338.63</v>
      </c>
      <c r="P9" s="2">
        <v>4344.38</v>
      </c>
      <c r="R9" s="2">
        <v>160</v>
      </c>
      <c r="S9" s="2">
        <v>1279.01</v>
      </c>
      <c r="U9" s="2">
        <v>250</v>
      </c>
      <c r="V9" s="2">
        <v>8541.08</v>
      </c>
      <c r="W9" s="2">
        <v>12744.04</v>
      </c>
    </row>
    <row r="10" spans="2:23" x14ac:dyDescent="0.25">
      <c r="C10" s="69"/>
      <c r="D10" s="70"/>
      <c r="E10" s="70"/>
      <c r="F10" s="1">
        <v>2025</v>
      </c>
      <c r="G10" s="42">
        <v>1.0609999999999999</v>
      </c>
      <c r="N10" s="2">
        <v>400</v>
      </c>
      <c r="O10" s="2">
        <v>1786.74</v>
      </c>
      <c r="P10" s="2">
        <v>5081.92</v>
      </c>
      <c r="R10" s="2">
        <v>250</v>
      </c>
      <c r="S10" s="2">
        <v>1512.7</v>
      </c>
      <c r="U10" s="2">
        <v>400</v>
      </c>
      <c r="V10" s="2">
        <v>8889.14</v>
      </c>
      <c r="W10" s="2">
        <v>15877.84</v>
      </c>
    </row>
    <row r="11" spans="2:23" x14ac:dyDescent="0.25">
      <c r="C11" s="69"/>
      <c r="D11" s="70"/>
      <c r="E11" s="70"/>
      <c r="F11" s="1">
        <v>2026</v>
      </c>
      <c r="G11" s="42">
        <v>1.0529999999999999</v>
      </c>
      <c r="N11" s="14">
        <v>630</v>
      </c>
      <c r="O11" s="14">
        <v>3571.53</v>
      </c>
      <c r="P11" s="14">
        <v>5360.36</v>
      </c>
      <c r="R11" s="14"/>
      <c r="S11" s="14"/>
      <c r="U11" s="14">
        <v>630</v>
      </c>
      <c r="V11" s="14">
        <v>9684.68</v>
      </c>
      <c r="W11" s="14">
        <v>17548.490000000002</v>
      </c>
    </row>
    <row r="12" spans="2:23" x14ac:dyDescent="0.25">
      <c r="C12" s="69"/>
      <c r="D12" s="70"/>
      <c r="E12" s="70"/>
      <c r="F12" s="2">
        <v>2027</v>
      </c>
      <c r="G12" s="42">
        <v>1.0449999999999999</v>
      </c>
      <c r="N12" s="14">
        <v>1000</v>
      </c>
      <c r="O12" s="2">
        <v>3840.03</v>
      </c>
      <c r="P12" s="2">
        <v>5897.36</v>
      </c>
      <c r="U12" s="14">
        <v>1000</v>
      </c>
      <c r="V12" s="2">
        <v>10579.68</v>
      </c>
      <c r="W12" s="2">
        <v>19427.98</v>
      </c>
    </row>
    <row r="13" spans="2:23" x14ac:dyDescent="0.25">
      <c r="C13" s="69"/>
      <c r="D13" s="70"/>
      <c r="E13" s="70"/>
      <c r="F13" s="2">
        <v>2028</v>
      </c>
      <c r="G13" s="12">
        <v>1.0449999999999999</v>
      </c>
      <c r="N13" s="14">
        <v>1250</v>
      </c>
      <c r="O13" s="2">
        <v>4557.4799999999996</v>
      </c>
      <c r="P13" s="45" t="s">
        <v>47</v>
      </c>
      <c r="U13" s="14">
        <v>1250</v>
      </c>
      <c r="V13" s="2">
        <v>10778.56</v>
      </c>
      <c r="W13" s="45">
        <v>19845.64</v>
      </c>
    </row>
    <row r="14" spans="2:23" x14ac:dyDescent="0.25">
      <c r="C14" s="69"/>
      <c r="D14" s="70"/>
      <c r="E14" s="70"/>
      <c r="F14" s="2">
        <v>2029</v>
      </c>
      <c r="G14" s="12">
        <v>1.0449999999999999</v>
      </c>
      <c r="N14" s="14">
        <v>1600</v>
      </c>
      <c r="O14" s="2">
        <v>5203.8599999999997</v>
      </c>
      <c r="P14" s="45" t="s">
        <v>47</v>
      </c>
      <c r="U14" s="14">
        <v>1600</v>
      </c>
      <c r="V14" s="2">
        <v>13553.04</v>
      </c>
      <c r="W14" s="45">
        <v>25597.74</v>
      </c>
    </row>
    <row r="15" spans="2:23" x14ac:dyDescent="0.25">
      <c r="C15" s="71"/>
      <c r="D15" s="72"/>
      <c r="E15" s="72"/>
      <c r="F15" s="2">
        <v>2030</v>
      </c>
      <c r="G15" s="12">
        <v>1.0449999999999999</v>
      </c>
    </row>
    <row r="16" spans="2:23" x14ac:dyDescent="0.25">
      <c r="C16" s="64" t="s">
        <v>20</v>
      </c>
      <c r="D16" s="65"/>
      <c r="E16" s="65"/>
      <c r="F16" s="66"/>
      <c r="G16" s="53">
        <f>G8*G9*G10*G11</f>
        <v>1673.8360003427401</v>
      </c>
    </row>
    <row r="17" spans="3:7" x14ac:dyDescent="0.25">
      <c r="C17" s="64" t="s">
        <v>21</v>
      </c>
      <c r="D17" s="65"/>
      <c r="E17" s="65"/>
      <c r="F17" s="66"/>
      <c r="G17" s="53">
        <f>G16*20/100</f>
        <v>334.76720006854805</v>
      </c>
    </row>
    <row r="18" spans="3:7" x14ac:dyDescent="0.25">
      <c r="C18" s="64" t="s">
        <v>22</v>
      </c>
      <c r="D18" s="65"/>
      <c r="E18" s="65"/>
      <c r="F18" s="66"/>
      <c r="G18" s="53">
        <f>G16+G17</f>
        <v>2008.6032004112881</v>
      </c>
    </row>
    <row r="28" spans="3:7" x14ac:dyDescent="0.25">
      <c r="C28" t="s">
        <v>23</v>
      </c>
    </row>
  </sheetData>
  <mergeCells count="13">
    <mergeCell ref="V5:W5"/>
    <mergeCell ref="B1:J1"/>
    <mergeCell ref="C3:E3"/>
    <mergeCell ref="C4:E4"/>
    <mergeCell ref="C5:E5"/>
    <mergeCell ref="O5:P5"/>
    <mergeCell ref="C18:F18"/>
    <mergeCell ref="C6:F6"/>
    <mergeCell ref="C7:E7"/>
    <mergeCell ref="C8:F8"/>
    <mergeCell ref="C9:E15"/>
    <mergeCell ref="C16:F16"/>
    <mergeCell ref="C17:F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КТП 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Свод</vt:lpstr>
      <vt:lpstr>КЛ-0,4 кВ</vt:lpstr>
      <vt:lpstr>ВЛ-10</vt:lpstr>
      <vt:lpstr>ВЛ-0,4 кВ</vt:lpstr>
      <vt:lpstr>19-21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2025-04-22T07:03:56Z</cp:lastPrinted>
  <dcterms:created xsi:type="dcterms:W3CDTF">2019-09-24T05:04:00Z</dcterms:created>
  <dcterms:modified xsi:type="dcterms:W3CDTF">2025-04-22T07:05:03Z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F404AE424DFE45408F574254D55A4C30_12</vt:lpwstr>
  </property>
  <property fmtid="{D5CDD505-2E9C-101B-9397-08002B2CF9AE}" pid="3" name="KSOProductBuildVer">
    <vt:lpwstr>1049-12.2.0.19805</vt:lpwstr>
  </property>
</Properties>
</file>